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76" windowWidth="15480" windowHeight="10320" activeTab="0"/>
  </bookViews>
  <sheets>
    <sheet name="apprtl" sheetId="1" r:id="rId1"/>
  </sheets>
  <definedNames>
    <definedName name="HTML_CodePage" hidden="1">1252</definedName>
    <definedName name="HTML_Control" hidden="1">{"'apprtl'!$A$1:$S$263"}</definedName>
    <definedName name="HTML_Description" hidden="1">""</definedName>
    <definedName name="HTML_Email" hidden="1">""</definedName>
    <definedName name="HTML_Header" hidden="1">"MSI/NIS/OPNAV Observations (Approach)"</definedName>
    <definedName name="HTML_LastUpdate" hidden="1">"7/2/99"</definedName>
    <definedName name="HTML_LineAfter" hidden="1">FALSE</definedName>
    <definedName name="HTML_LineBefore" hidden="1">TRUE</definedName>
    <definedName name="HTML_Name" hidden="1">"Maureen Bell"</definedName>
    <definedName name="HTML_OBDlg2" hidden="1">TRUE</definedName>
    <definedName name="HTML_OBDlg4" hidden="1">TRUE</definedName>
    <definedName name="HTML_OS" hidden="1">1</definedName>
    <definedName name="HTML_PathFileMac" hidden="1">"Macintosh HD:NEAR:timeline spreadsheets:newappr_070299.html"</definedName>
    <definedName name="HTML_Title" hidden="1">"MSI/NIS/OPNAV Observations (Approach)"</definedName>
    <definedName name="_xlnm.Print_Area" localSheetId="0">'apprtl'!$A$1:$V$278</definedName>
    <definedName name="_xlnm.Print_Titles" localSheetId="0">'apprtl'!$1:$1</definedName>
  </definedNames>
  <calcPr fullCalcOnLoad="1"/>
</workbook>
</file>

<file path=xl/sharedStrings.xml><?xml version="1.0" encoding="utf-8"?>
<sst xmlns="http://schemas.openxmlformats.org/spreadsheetml/2006/main" count="1697" uniqueCount="441">
  <si>
    <t>NIS_DailyGlobal_54: 6x7 mosaics during above slew</t>
  </si>
  <si>
    <t xml:space="preserve"> Opnav 54a KF</t>
  </si>
  <si>
    <t xml:space="preserve"> Opnav 54b KF</t>
  </si>
  <si>
    <t>Global Morphology 4</t>
  </si>
  <si>
    <t>MSI_GM_4: 2x3 every 10 deg for 1.1 Eros rotation.  One filter, autoexp. (FAST)</t>
  </si>
  <si>
    <t>NIS Global Morph 4</t>
  </si>
  <si>
    <t>NIS_GM_4: 6 mirror pos, 5 sec integr/pos during above 2x3 slew</t>
  </si>
  <si>
    <t xml:space="preserve"> Opnav 54c KF</t>
  </si>
  <si>
    <t>Star Calibration 054</t>
  </si>
  <si>
    <t xml:space="preserve"> Opnav 55a KF</t>
  </si>
  <si>
    <t>055</t>
  </si>
  <si>
    <t>Daily Global 55</t>
  </si>
  <si>
    <t>DailyGlobal_55: 4x4 in filter 4 (TABLE 5 + FAST)</t>
  </si>
  <si>
    <t>NIS Daily Global 55</t>
  </si>
  <si>
    <t>NIS_DailyGlobal_55: 7x6 mosaics during above slew</t>
  </si>
  <si>
    <t>Star Calibration 055</t>
  </si>
  <si>
    <t xml:space="preserve"> Opnav 55b KF</t>
  </si>
  <si>
    <t xml:space="preserve"> Opnav 55c KL</t>
  </si>
  <si>
    <t xml:space="preserve"> Opnav 55d KL</t>
  </si>
  <si>
    <t>056</t>
  </si>
  <si>
    <t>Star Calibration 056</t>
  </si>
  <si>
    <t>Daily Global 56</t>
  </si>
  <si>
    <t>DailyGlobal_56: 4x4 in filter 4 (TABLE 5 + FAST)</t>
  </si>
  <si>
    <t>NIS Daily Global 56</t>
  </si>
  <si>
    <t>NIS_DailyGlobal_56: 7x6 mosaics during above slew</t>
  </si>
  <si>
    <t xml:space="preserve"> Opnav 56b KF</t>
  </si>
  <si>
    <t>Multispectral Rotation 3</t>
  </si>
  <si>
    <t xml:space="preserve"> </t>
  </si>
  <si>
    <t>MSI_MSRot_3: 2x2; seven filters every 45 deg of rot. for 1.1 Eros rotation.  Auto exp. (Uncompressed)</t>
  </si>
  <si>
    <t>Clean (FAST)</t>
  </si>
  <si>
    <t>NIS Multispectral Rotation 3</t>
  </si>
  <si>
    <t>NIS_MSRot_3: 6 mirror pos, 5 sec, scanning with slew</t>
  </si>
  <si>
    <t>057</t>
  </si>
  <si>
    <t>NIS Daily Global 57</t>
  </si>
  <si>
    <t>NIS_DailyGlobal_57: 7x6 mosaics during above slew</t>
  </si>
  <si>
    <t>058</t>
  </si>
  <si>
    <t>NIS Global Morph 5</t>
  </si>
  <si>
    <t>NIS_GM_5: 6 mirror pos, 3 sec integr/pos during above 2x3 slew</t>
  </si>
  <si>
    <t>NIS Daily Global 058</t>
  </si>
  <si>
    <t>NIS_DailyGlobal_058: 7x6 mosaics during above slew</t>
  </si>
  <si>
    <t>MSI_SatSrchA: Take 8 frames(while slewing diagonally across 2x2 pixels) at each of the 6 positions in a 2x3 mosaic centered on Eros. Repeat 5 additional times. Covers 6000x6000 km region. Clr filter, man exp 999 ms,FAST).</t>
  </si>
  <si>
    <t>Opnav B Prime 123</t>
  </si>
  <si>
    <t>349</t>
  </si>
  <si>
    <t>done</t>
  </si>
  <si>
    <t>99347</t>
  </si>
  <si>
    <t>350</t>
  </si>
  <si>
    <t>NLR MSI alignment test</t>
  </si>
  <si>
    <t>NLR</t>
  </si>
  <si>
    <t>MSI_NLR_align_test: 4 images taken 1 sec apart in 4 sets. Timed to occur before, during and after 2 8 hz bursts.</t>
  </si>
  <si>
    <t>Opnav D test</t>
  </si>
  <si>
    <t>OPDt1:2x2 mosaic</t>
  </si>
  <si>
    <t>Opnav F test</t>
  </si>
  <si>
    <t>Orbit Correction Man 1</t>
  </si>
  <si>
    <t>MSI_Cancal_5: 16 images slewing across 2 pixels with Canopus, repeat (filters 0-7) (FAST)</t>
  </si>
  <si>
    <t>MSI</t>
  </si>
  <si>
    <t>MSI Support images</t>
  </si>
  <si>
    <t>Opnav B Prime 111</t>
  </si>
  <si>
    <t>Opnav B Prime 112</t>
  </si>
  <si>
    <t>OPBP_116:8 clr filter images 5 exposed for Eros, 3 exposed for stars (1 999 ms, 3 auto, 2 short, 2 999ms)</t>
  </si>
  <si>
    <t>OPBP_117:8 clr filter images 5 exposed for Eros, 3 exposed for stars (1 999 ms, 3 auto, 2 short, 2 999ms)</t>
  </si>
  <si>
    <t>OPBP_118:8 clr filter images 5 exposed for Eros, 3 exposed for stars (1 999 ms, 3 auto, 2 short, 2 999ms)</t>
  </si>
  <si>
    <t>Opnav B Prime 141 (sun roll ref)</t>
  </si>
  <si>
    <t>044</t>
  </si>
  <si>
    <t>00045</t>
  </si>
  <si>
    <t>OPBP_141:8 clr filter images exposed for Eros, 3 exposed for stars (1 999 ms, 3 auto, 2 short, 2 999ms)</t>
  </si>
  <si>
    <t>NIS Low Phase Flyby</t>
  </si>
  <si>
    <t>045</t>
  </si>
  <si>
    <t>70m  track (26.4 kb/s)</t>
  </si>
  <si>
    <t>Total images for Appraoch</t>
  </si>
  <si>
    <t>Total spectra for Approach</t>
  </si>
  <si>
    <t>Total images for POI</t>
  </si>
  <si>
    <t>Total spectra for POI</t>
  </si>
  <si>
    <t>NIS_DailyGlobal_47: 6x7 mosaics during above slew</t>
  </si>
  <si>
    <t xml:space="preserve"> Opnav H7</t>
  </si>
  <si>
    <t>NIS Cal target O1</t>
  </si>
  <si>
    <t>Cal target</t>
  </si>
  <si>
    <t>NIS_Caltarg_O1: Standard NIS_CAL</t>
  </si>
  <si>
    <t>Global Morphology 3x3</t>
  </si>
  <si>
    <t>MSI_GM_3x3: Mosaics every 15 deg for 1 rotation. Filter 4, autoexposure  (FAST)</t>
  </si>
  <si>
    <t>NIS Global Morph 3x3</t>
  </si>
  <si>
    <t>NIS_GM_3x3: 6x5 mosaics during above slew (3 sec)</t>
  </si>
  <si>
    <t xml:space="preserve"> Opnav H9</t>
  </si>
  <si>
    <t>048</t>
  </si>
  <si>
    <t>00048</t>
  </si>
  <si>
    <t>Daily Global 48</t>
  </si>
  <si>
    <t>DailyGlobal_48: 4x4 in filter 4 (TABLE 5 + FAST)</t>
  </si>
  <si>
    <t>NIS Daily Global 48</t>
  </si>
  <si>
    <t>NIS_DailyGlobal_48: 6x7 mosaics during above slew</t>
  </si>
  <si>
    <t xml:space="preserve"> Opnav H10</t>
  </si>
  <si>
    <t xml:space="preserve"> Opnav H11</t>
  </si>
  <si>
    <t>Daily Global 49</t>
  </si>
  <si>
    <t>049</t>
  </si>
  <si>
    <t>DailyGlobal_49: 4x4 in filter 4 (TABLE 5 + FAST)</t>
  </si>
  <si>
    <t>NIS Daily Global 49</t>
  </si>
  <si>
    <t>NIS_DailyGlobal_49: 6x7 mosaics during above slew</t>
  </si>
  <si>
    <t xml:space="preserve"> Opnav H12</t>
  </si>
  <si>
    <t xml:space="preserve"> Opnav H13</t>
  </si>
  <si>
    <t xml:space="preserve"> Opnav H14</t>
  </si>
  <si>
    <t xml:space="preserve"> Opnav H15</t>
  </si>
  <si>
    <t>Daily Global 50</t>
  </si>
  <si>
    <t>050</t>
  </si>
  <si>
    <t>DailyGlobal_50: 4x4 in filter 4 (TABLE 5 + FAST)</t>
  </si>
  <si>
    <t>NIS Daily Global 50</t>
  </si>
  <si>
    <t>NIS_DailyGlobal_50: 6x7 mosaics during above slew</t>
  </si>
  <si>
    <t>Global Morphology 2</t>
  </si>
  <si>
    <t>MSI_GM_2: 2x3 every 10 deg for 1.1 Eros rotation.  One filter, autoexp. (TABLE 5 + FAST)</t>
  </si>
  <si>
    <t>Clean (TABLE 5 + FAST)</t>
  </si>
  <si>
    <t>NIS Global Morph 2</t>
  </si>
  <si>
    <t>MSI_MirrorGeomSup1: images every 12 seconds when NIS on mp 72 - 79 (TABLE5+FAST)</t>
  </si>
  <si>
    <t>MSI Multispectral Light Curve 2</t>
  </si>
  <si>
    <t>MSI_MSLtCv2: 8 filters every 30 deg for 1.1 Eros rotation.  Auto exp. (FAST)</t>
  </si>
  <si>
    <t>MSI Movie 3</t>
  </si>
  <si>
    <t>MSI Multispectral Light Curve 3</t>
  </si>
  <si>
    <t>NIS Cal target 7</t>
  </si>
  <si>
    <t>NIS_Caltarg_7: Standard NIS_CAL</t>
  </si>
  <si>
    <t>NIS_Caltarg_8: Standard NIS_CAL</t>
  </si>
  <si>
    <t>NIS_Movie7: Narrow (4x16sec spectra+2 r+4dark) 315 exec. Mp 75</t>
  </si>
  <si>
    <t>NIS_GM_1: Wide (4x16sec spectra+2 r+4dark) 299 exec. Mp 75</t>
  </si>
  <si>
    <t>NIS_GM_2: 6 mirror pos, 3 sec integr/pos during above 2x3 slew</t>
  </si>
  <si>
    <t xml:space="preserve"> Opnav H16</t>
  </si>
  <si>
    <t xml:space="preserve"> Opnav H17</t>
  </si>
  <si>
    <t>051</t>
  </si>
  <si>
    <t xml:space="preserve"> Opnav H18</t>
  </si>
  <si>
    <t>Daily Global 51</t>
  </si>
  <si>
    <t>DailyGlobal_51: 4x4 in filter 4 (TABLE 5 + FAST)</t>
  </si>
  <si>
    <t>NIS Daily Global 51</t>
  </si>
  <si>
    <t>NIS_DailyGlobal_51: 6x7 mosaics during above slew</t>
  </si>
  <si>
    <t xml:space="preserve"> Opnav H19</t>
  </si>
  <si>
    <t xml:space="preserve"> Opnav H20</t>
  </si>
  <si>
    <t xml:space="preserve"> Opnav H21</t>
  </si>
  <si>
    <t>052</t>
  </si>
  <si>
    <t>Global Morphology 3</t>
  </si>
  <si>
    <t>MSI_GM_3: 2x3 every 10 deg for 1.1 Eros rotation.  One filter, autoexp. (TABLE 5 + FAST)</t>
  </si>
  <si>
    <t>NIS Global Morph 3</t>
  </si>
  <si>
    <t>NIS_GM_3: 6 mirror pos, 3 sec integr/pos during above 2x3 slew</t>
  </si>
  <si>
    <t xml:space="preserve"> Opnav H22</t>
  </si>
  <si>
    <t>Daily Global 52</t>
  </si>
  <si>
    <t>DailyGlobal_52: 4x4 in filter 4 (TABLE 5 + FAST)</t>
  </si>
  <si>
    <t>NIS Daily Global 52</t>
  </si>
  <si>
    <t>NIS_DailyGlobal_52: 6x7 mosaics during above slew</t>
  </si>
  <si>
    <t>OPBP_102:8 clr filter images 5 exposed for Eros, 3 exposed for stars (1 999 ms, 3 auto, 2 short, 2 999ms)</t>
  </si>
  <si>
    <t>OPBP_103:8 clr filter images 5 exposed for Eros, 3 exposed for stars (1 999 ms, 3 auto, 2 short, 2 999ms)</t>
  </si>
  <si>
    <t>OPBP_104:8 clr filter images 5 exposed for Eros, 3 exposed for stars (1 999 ms, 3 auto, 2 short, 2 999ms)</t>
  </si>
  <si>
    <t>OPBP_137:8 clr filter images 5 exposed for Eros, 3 exposed for stars (1 999 ms, 3 auto, 2 short, 2 999ms)</t>
  </si>
  <si>
    <t>OPBP_138:8 clr filter images 5 exposed for Eros, 3 exposed for stars (1 999 ms, 3 auto, 2 short, 2 999ms)</t>
  </si>
  <si>
    <t>OPBP_139:8 clr filter images 5 exposed for Eros, 3 exposed for stars (1 999 ms, 3 auto, 2 short, 2 999ms)</t>
  </si>
  <si>
    <t>OPBP_140:8 clr filter images 5 exposed for Eros, 3 exposed for stars (1 999 ms, 3 auto, 2 short, 2 999ms)</t>
  </si>
  <si>
    <t xml:space="preserve"> Opnav H23</t>
  </si>
  <si>
    <t xml:space="preserve"> Opnav 53a KF</t>
  </si>
  <si>
    <t>053</t>
  </si>
  <si>
    <t>00052</t>
  </si>
  <si>
    <t>2x3 start stop mosaic in filter 4 (TABLE 5 + FAST)</t>
  </si>
  <si>
    <t xml:space="preserve"> Opnav 53b KF</t>
  </si>
  <si>
    <t xml:space="preserve"> Opnav 53c KF</t>
  </si>
  <si>
    <t>Opnav 53d KL</t>
  </si>
  <si>
    <t>3x4 mosaic in filter 4 (TABLE 5 + FAST)</t>
  </si>
  <si>
    <t>Daily Global 53</t>
  </si>
  <si>
    <t>DailyGlobal_53: 4x4 in filter 4 (TABLE 5 + FAST)</t>
  </si>
  <si>
    <t>NIS Daily Global 53</t>
  </si>
  <si>
    <t>NIS_DailyGlobal_53: 6x7 mosaics during above slew</t>
  </si>
  <si>
    <t xml:space="preserve"> Opnav 53e KF</t>
  </si>
  <si>
    <t>Star Calibration 053</t>
  </si>
  <si>
    <t>Point anti-NADIR, 4 seq 29, return (FAST)</t>
  </si>
  <si>
    <t>Daily Global 54</t>
  </si>
  <si>
    <t>054</t>
  </si>
  <si>
    <t>DailyGlobal_54: 4x4 in filter 4 (TABLE 5 + FAST)</t>
  </si>
  <si>
    <t>NIS Daily Global 54</t>
  </si>
  <si>
    <t>NIS_Movie6: Narrow (4x16sec spectra+2 r+4dark) 315 exec. Mp 75</t>
  </si>
  <si>
    <t>MSI Multispectral Light Curve 6</t>
  </si>
  <si>
    <t>MSI_MSLtCv6: 8 filters every 5 deg for 1.1 Eros rotation.  Auto exp. (FAST) *EROS= 30 pixels</t>
  </si>
  <si>
    <t>NIS Mirror Geometry Test 2</t>
  </si>
  <si>
    <t>NIS_MirrorGeom2: Test mirror steps; mp 75 to 199 odd and 200 to 74 even; 58 1 second spectra per mirror step</t>
  </si>
  <si>
    <t>MSI_MirrorGeomSup2: images every 12 seconds when NIS on mp 72 - 79 (TABLE5+FAST)</t>
  </si>
  <si>
    <t>OPBP_100:8 clr filter images 5 exposed for Eros, 3 exposed for stars (1 999 ms, 3 auto, 2 short, 2 999ms)</t>
  </si>
  <si>
    <t>OPBP_101:8 clr filter images 5 exposed for Eros, 3 exposed for stars (1 999 ms, 3 auto, 2 short, 2 999ms)</t>
  </si>
  <si>
    <t>NIS Movie 7</t>
  </si>
  <si>
    <t>GLOBAL_MAP_50_IN</t>
  </si>
  <si>
    <t>040</t>
  </si>
  <si>
    <t>MSI_Cancal_4a: 16 images slewing across 2 pixels with Canopus, repeat (filters 0-7) (FAST)</t>
  </si>
  <si>
    <t>Target</t>
  </si>
  <si>
    <t>undefined</t>
  </si>
  <si>
    <t>M6</t>
  </si>
  <si>
    <t>Eros</t>
  </si>
  <si>
    <t>space</t>
  </si>
  <si>
    <t>cal target</t>
  </si>
  <si>
    <t>Canopus</t>
  </si>
  <si>
    <t>NIS Low Phase Flyby test 1</t>
  </si>
  <si>
    <t>mock LPF - read down twice</t>
  </si>
  <si>
    <t>SDC test - read down twice</t>
  </si>
  <si>
    <t>NIS Low Phase Flyby test 2</t>
  </si>
  <si>
    <t>NAV/MSI</t>
  </si>
  <si>
    <t>Opnav B Prime 100 (sun roll ref)</t>
  </si>
  <si>
    <t>Opnav B Prime 101 (sun roll ref)</t>
  </si>
  <si>
    <t>MSI_MSLtCv7: 8  filters every 30 deg for 1.1 Eros rotation.  Auto exp. (FAST) *EROS = 50 pixels</t>
  </si>
  <si>
    <t>3,5,6, 11,12</t>
  </si>
  <si>
    <t>MSI_MSLtCv4: 8 filters every 30 deg for 1.1 Eros rotation.  Auto exp. (FAST) *EROS= 15 pixels</t>
  </si>
  <si>
    <t>Global Morphology 1</t>
  </si>
  <si>
    <t>NIS Nixel Raster Test narrow slit</t>
  </si>
  <si>
    <t>Multispectral Rotation Seq.</t>
  </si>
  <si>
    <t>P/B (hrs @8.8 kb/s)</t>
  </si>
  <si>
    <t># imgs  or       # spec</t>
  </si>
  <si>
    <t>034</t>
  </si>
  <si>
    <t>035</t>
  </si>
  <si>
    <t>036</t>
  </si>
  <si>
    <t>037</t>
  </si>
  <si>
    <t>038</t>
  </si>
  <si>
    <t>039</t>
  </si>
  <si>
    <t>014</t>
  </si>
  <si>
    <t>Opnav B Prime 113</t>
  </si>
  <si>
    <t>Opnav B Prime 114</t>
  </si>
  <si>
    <t>0-7</t>
  </si>
  <si>
    <t>Opnav G test</t>
  </si>
  <si>
    <t>Opnav H test</t>
  </si>
  <si>
    <t>OPHt1: 3x3 mosaic</t>
  </si>
  <si>
    <t>Opnav I test</t>
  </si>
  <si>
    <t>OPIt1: 1x2 mosaic</t>
  </si>
  <si>
    <t>Opnav J test</t>
  </si>
  <si>
    <t>OPJt1: 2x1 mosaic</t>
  </si>
  <si>
    <t>Opnav K 3x2 test</t>
  </si>
  <si>
    <t>3x2 mosaic</t>
  </si>
  <si>
    <t>Opnav K 2x3 test</t>
  </si>
  <si>
    <t>2x3 mosaic</t>
  </si>
  <si>
    <t>Opnav K 2x2 test</t>
  </si>
  <si>
    <t>2x2 mosaic</t>
  </si>
  <si>
    <t>353</t>
  </si>
  <si>
    <t>00038</t>
  </si>
  <si>
    <t>RND BURN 2</t>
  </si>
  <si>
    <t>MSI_MSRot_1: one filter 5 image every 1/2 deg of rot., 7 additional filters every 10 deg for 1.1 Eros rotation each.  Auto exp. (FAST) *EROS = 2 pixels</t>
  </si>
  <si>
    <t>34 m downlink track</t>
  </si>
  <si>
    <t>Opnav B Prime 119</t>
  </si>
  <si>
    <t>Opnav B Prime 104</t>
  </si>
  <si>
    <t>MSI_MSLtCv1: 8 filters every 30 deg for 1.1 Eros rotation.  Auto exp. (FAST)</t>
  </si>
  <si>
    <t>Opnav B Prime 117</t>
  </si>
  <si>
    <t>Opnav B Prime 118</t>
  </si>
  <si>
    <t>OPFt1:2x3 mosaic</t>
  </si>
  <si>
    <t xml:space="preserve">OPGt1: 3x2 mosaic </t>
  </si>
  <si>
    <t>Opnav B Prime 121</t>
  </si>
  <si>
    <t>Opnav B Prime 122</t>
  </si>
  <si>
    <t>MSI Movie 1 (sun roll ref)</t>
  </si>
  <si>
    <t>Satellite Search A (sun roll ref)</t>
  </si>
  <si>
    <t>OPBP_119:8 clr filter images 5 exposed for Eros, 3 exposed for stars (1 999 ms, 3 auto, 2 short, 2 999ms)</t>
  </si>
  <si>
    <t>OPBP_120:8 clr filter images 5 exposed for Eros, 3 exposed for stars (1 999 ms, 3 auto, 2 short, 2 999ms)</t>
  </si>
  <si>
    <t>OPBP_121:8 clr filter images 5 exposed for Eros, 3 exposed for stars (1 999 ms, 3 auto, 2 short, 2 999ms)</t>
  </si>
  <si>
    <t>OPBP_122:8 clr filter images 5 exposed for Eros, 3 exposed for stars (1 999 ms, 3 auto, 2 short, 2 999ms)</t>
  </si>
  <si>
    <t>OPBP_123:8 clr filter images 5 exposed for Eros, 3 exposed for stars (1 999 ms, 3 auto, 2 short, 2 999ms)</t>
  </si>
  <si>
    <t>OPBP_126:8 clr filter images 5 exposed for Eros, 3 exposed for stars (1 999 ms, 3 auto, 2 short, 2 999ms)</t>
  </si>
  <si>
    <t>read down twice</t>
  </si>
  <si>
    <t xml:space="preserve">Orbit Insertion </t>
  </si>
  <si>
    <t>Opnav K OIM1 3x4</t>
  </si>
  <si>
    <t>OPK_OIM1_3x4: 3x4 mosaic in filter 4 (TABLE 5 + FAST)</t>
  </si>
  <si>
    <t xml:space="preserve"> Opnav K OIM2 3x4</t>
  </si>
  <si>
    <t>OPK_OIM2_3x4: 3x4 mosaic in filter 4 (TABLE 5 + FAST)</t>
  </si>
  <si>
    <t xml:space="preserve"> Opnav H3</t>
  </si>
  <si>
    <t>046</t>
  </si>
  <si>
    <t>3x3 mosaic in filter 4 (TABLE 5 + FAST)</t>
  </si>
  <si>
    <t xml:space="preserve"> Opnav H4</t>
  </si>
  <si>
    <t>Daily Global 46</t>
  </si>
  <si>
    <t>DailyGlobal_46: 4x4 in filter 4 (TABLE 5 + FAST)</t>
  </si>
  <si>
    <t>NIS Daily Global 46</t>
  </si>
  <si>
    <t>NIS_DailyGlobal_46: 6x7 mosaics during above slew</t>
  </si>
  <si>
    <t xml:space="preserve"> Opnav H5</t>
  </si>
  <si>
    <t>34 m track (8.8 kb/s)</t>
  </si>
  <si>
    <t xml:space="preserve"> Opnav H6</t>
  </si>
  <si>
    <t>Daily Global 47</t>
  </si>
  <si>
    <t>047</t>
  </si>
  <si>
    <t>DailyGlobal_47: 4x4 in filter 4 (TABLE 5 + FAST)</t>
  </si>
  <si>
    <t>NIS Daily Global 47</t>
  </si>
  <si>
    <t>OPBP_133:8 clr filter images 5 exposed for Eros, 3 exposed for stars (1 999 ms, 3 auto, 2 short, 2 999ms)</t>
  </si>
  <si>
    <t>OPBP_134: 8 clr filter images 5 exposed for Eros, 3 exposed for stars (1 999 ms, 3 auto, 2 short, 2 999ms)</t>
  </si>
  <si>
    <t>OPBP_135:8 clr filter images 5 exposed for Eros, 3 exposed for stars (1 999 ms, 3 auto, 2 short, 2 999ms)</t>
  </si>
  <si>
    <t>OPBP_136:8 clr filter images 5 exposed for Eros, 3 exposed for stars (1 999 ms, 3 auto, 2 short, 2 999ms)</t>
  </si>
  <si>
    <t xml:space="preserve">High-gain pass DSS Sta. </t>
  </si>
  <si>
    <t>Ownr</t>
  </si>
  <si>
    <t>Date</t>
  </si>
  <si>
    <t>DOY</t>
  </si>
  <si>
    <t>Strt, UT</t>
  </si>
  <si>
    <t xml:space="preserve"> Dur</t>
  </si>
  <si>
    <t>End of NIS Low Phase Flyby</t>
  </si>
  <si>
    <t>NIS_MirrorPlaneTst: Test Mirror plane alignment  Narrow (486x1), Wide (486x1) positions 45,75,125,175,225</t>
  </si>
  <si>
    <t>MSI_MirrorPlaneSup: images every 12 seconds when NIS on mp 75 (TABLE5+FAST)</t>
  </si>
  <si>
    <t>MSI Multispectral Light Curve 1 (sun roll ref)</t>
  </si>
  <si>
    <t>MSI Support images of wide NIS Test</t>
  </si>
  <si>
    <t>MSI_NixRasTst_narrow: 3 images taken at each position of 6x8 mosaic (TABLE5+FAST)</t>
  </si>
  <si>
    <t>MSI_Movie6: one filter 4 image every 1/2 deg of rot. for 1.1 Eros rotation.  Auto exp. (TABLE5+FAST)</t>
  </si>
  <si>
    <t>2,3,4, 5,6,11, 12, 23</t>
  </si>
  <si>
    <t>8,9,29</t>
  </si>
  <si>
    <t>7,26</t>
  </si>
  <si>
    <t>MSI_MSRot_1: one filter 4 image every 1/2 deg of rot. (TABLE5+FAST)</t>
  </si>
  <si>
    <t>NIS_MirrorGeom1: Test mirror steps; mp 76 to 46 odd and 47 to 75 even; 58 1 second spectra per mirror step</t>
  </si>
  <si>
    <t>Seq.     IDs</t>
  </si>
  <si>
    <t>NIS Nixel Raster Test wide slit</t>
  </si>
  <si>
    <t>MSI Support images of narrow NIS Test</t>
  </si>
  <si>
    <t>RND BURN 1</t>
  </si>
  <si>
    <t>P/B (hrs @26.4 kb/s)</t>
  </si>
  <si>
    <t>T</t>
  </si>
  <si>
    <t>MSI_Movie7: one filter 4 image every 1/2 deg of rot., (TABLE5+FAST)</t>
  </si>
  <si>
    <t>011</t>
  </si>
  <si>
    <t>018</t>
  </si>
  <si>
    <t>024</t>
  </si>
  <si>
    <t>025</t>
  </si>
  <si>
    <t>026</t>
  </si>
  <si>
    <t>027</t>
  </si>
  <si>
    <t>028</t>
  </si>
  <si>
    <t>NIS_MSLtCv8: Narrow (4x16sec spectra+2 r+4dark) 299 exec. Mp 75</t>
  </si>
  <si>
    <t>NIS_MSRot_1: Mirror position 73-77 w/ 16 sec integration, 283 executes.</t>
  </si>
  <si>
    <t>029</t>
  </si>
  <si>
    <t>030</t>
  </si>
  <si>
    <t>031</t>
  </si>
  <si>
    <t>032</t>
  </si>
  <si>
    <t>NIS Mirror Geometry Test 1</t>
  </si>
  <si>
    <t>MSI Support images 1</t>
  </si>
  <si>
    <t>MSI_SatSrchB: Cover region (+/- 125Er) with 7x6 mosaic. Slew so boresight moves 0.01 deg/s in direction that is 3 long pixels by 50 urad in short pix direction. Take 4 pics for each position in mosaic, spaced 3 sec apart. 1 auto, 3 man exp (999ms). (FAST)</t>
  </si>
  <si>
    <t>LAT_SCANS_50-45_IN</t>
  </si>
  <si>
    <t>GLOBAL_MAP_45_IN</t>
  </si>
  <si>
    <t>LAT_SCANS_45-40_IN</t>
  </si>
  <si>
    <t>FULL_NIXEL_TEST</t>
  </si>
  <si>
    <t>GLOBAL_MAP_40_IN</t>
  </si>
  <si>
    <t>InGas_OPT_LAT_SCAN_40-30_IN</t>
  </si>
  <si>
    <t>(TABLE5+FAST)</t>
  </si>
  <si>
    <t>042</t>
  </si>
  <si>
    <t>00031</t>
  </si>
  <si>
    <t>Opnav B Prime 110</t>
  </si>
  <si>
    <t>MSI Multispectral Light Curve 4</t>
  </si>
  <si>
    <t>041</t>
  </si>
  <si>
    <t>F</t>
  </si>
  <si>
    <t>Pr'ty</t>
  </si>
  <si>
    <t>NIS_NixRasTst_wide: 10x8 mosaic in NIS Wide slit (12*(14+2+4))</t>
  </si>
  <si>
    <t>012</t>
  </si>
  <si>
    <t>Observation Name</t>
  </si>
  <si>
    <t>End, UT</t>
  </si>
  <si>
    <t>043</t>
  </si>
  <si>
    <t>Canopus Calibration 5</t>
  </si>
  <si>
    <t>016</t>
  </si>
  <si>
    <t>020</t>
  </si>
  <si>
    <t>022</t>
  </si>
  <si>
    <t>013</t>
  </si>
  <si>
    <t>1,3,4,5,6</t>
  </si>
  <si>
    <t>019</t>
  </si>
  <si>
    <t>015</t>
  </si>
  <si>
    <t>017</t>
  </si>
  <si>
    <t>021</t>
  </si>
  <si>
    <t>NIS MSLtCv 4</t>
  </si>
  <si>
    <t>70m downlink track</t>
  </si>
  <si>
    <t>GLOBAL_MAP_30_IN</t>
  </si>
  <si>
    <t>InGas_OPT_LAT_SCAN_30-20_IN</t>
  </si>
  <si>
    <t>GLOBAL_MPPS_IN</t>
  </si>
  <si>
    <t>LOW_PHASE_MPPS</t>
  </si>
  <si>
    <t>GLOBALS_OUT</t>
  </si>
  <si>
    <t>MSI_MSLtCv3: 8 filters every 30 deg for 1.1 Eros rotation.  Auto exp. (FAST)</t>
  </si>
  <si>
    <t>NIS Cal target 8</t>
  </si>
  <si>
    <t>Opnav B Prime 102</t>
  </si>
  <si>
    <t>Opnav B Prime 103</t>
  </si>
  <si>
    <t>Opnav B Prime 116</t>
  </si>
  <si>
    <t>P/B (hrs @17.6 kb/s)</t>
  </si>
  <si>
    <t>week</t>
  </si>
  <si>
    <t>Description</t>
  </si>
  <si>
    <t>Status</t>
  </si>
  <si>
    <t>NAV</t>
  </si>
  <si>
    <t>NIS Mirror Plane Test</t>
  </si>
  <si>
    <t>NIS_Movie4: Narrow (4x16sec spectra+2 r+4dark) 315 exec. Mp 75</t>
  </si>
  <si>
    <t>MSI_NixRasTst_wide: 3 images taken at each position in 10x8 mosaic (TABLE5+FAST)</t>
  </si>
  <si>
    <t>MSI_MSLtCv8: 8 filters every 30 deg for 1.1 Eros rotation.  Auto exp. (FAST) *EROS = 80 pixels</t>
  </si>
  <si>
    <t>Opnav B Prime 139</t>
  </si>
  <si>
    <t>Opnav B Prime 138</t>
  </si>
  <si>
    <t>NIS</t>
  </si>
  <si>
    <t>NIS Global Morph 1</t>
  </si>
  <si>
    <t>NIS Multispectral Rotation Seq.</t>
  </si>
  <si>
    <t>MSI_Cancal_4b: 16 images slewing across 2 pixels with Canopus, repeat at 8 positions (FAST)</t>
  </si>
  <si>
    <t>MSI Movie 6</t>
  </si>
  <si>
    <t>MSI NAV Movie</t>
  </si>
  <si>
    <t>MSI_NAVMovie: one filter 4 image every 15 deg of rot. for 1.1 Eros rotation.  Auto exp. (TABLE5+FAST)</t>
  </si>
  <si>
    <t>00033</t>
  </si>
  <si>
    <t>00035</t>
  </si>
  <si>
    <t>NIS Movie 6</t>
  </si>
  <si>
    <t>LAT_SCANS_OUT</t>
  </si>
  <si>
    <t>Star Calibration 1</t>
  </si>
  <si>
    <t>StarCal_1: Point anti-NADIR, 2 seq 29,return</t>
  </si>
  <si>
    <t>34m downlink track</t>
  </si>
  <si>
    <t>OPBP_105:8 clr filter images 5 exposed for Eros, 3 exposed for stars (1 999 ms, 3 auto, 2 short, 2 999ms)</t>
  </si>
  <si>
    <t>OPBP_106:8 clr filter images 5 exposed for Eros, 3 exposed for stars (1 999 ms, 3 auto, 2 short, 2 999ms)</t>
  </si>
  <si>
    <t>OPBP_107:8 clr filter images 5 exposed for Eros, 3 exposed for stars (1 999 ms, 3 auto, 2 short, 2 999ms)</t>
  </si>
  <si>
    <t>OPBP_108:8 clr filter images 5 exposed for Eros, 3 exposed for stars (1 999 ms, 3 auto, 2 short, 2 999ms)</t>
  </si>
  <si>
    <t>OPBP_109:8 clr filter images 5 exposed for Eros, 3 exposed for stars (1 999 ms, 3 auto, 2 short, 2 999ms)</t>
  </si>
  <si>
    <t>OPBP_110:8 clr filter images 5 exposed for Eros, 3 exposed for stars (1 999 ms, 3 auto, 2 short, 2 999ms)</t>
  </si>
  <si>
    <t>OPBP_111:8 clr filter images 5 exposed for Eros, 3 exposed for stars (1 999 ms, 3 auto, 2 short, 2 999ms)</t>
  </si>
  <si>
    <t>OPBP_112:8 clr filter images 5 exposed for Eros, 3 exposed for stars (1 999 ms, 3 auto, 2 short, 2 999ms)</t>
  </si>
  <si>
    <t>OPBP_113:8 clr filter images 5 exposed for Eros, 3 exposed for stars (1 999 ms, 3 auto, 2 short, 2 999ms)</t>
  </si>
  <si>
    <t>OPBP_114:8 clr filter images 5 exposed for Eros, 3 exposed for stars (1 999 ms, 3 auto, 2 short, 2 999ms)</t>
  </si>
  <si>
    <t>OPBP_115:8 clr filter images 5 exposed for Eros, 3 exposed for stars (1 999 ms, 3 auto, 2 short, 2 999ms)</t>
  </si>
  <si>
    <t>00010</t>
  </si>
  <si>
    <t>00017</t>
  </si>
  <si>
    <t>00024</t>
  </si>
  <si>
    <t>MSI_GM_1: 1 filter 4 every 1/2 deg for another Eros rotation.  Autoexp. (TABLE5+FAST) *EROS = 70 pixels</t>
  </si>
  <si>
    <t>Satellite Search B (sun roll ref)</t>
  </si>
  <si>
    <t>NIS_NixRasTst_narrow: 6x8 mosaic in NIS Narrow slit (25*(14+2+4))</t>
  </si>
  <si>
    <t>Opnav B Prime 106</t>
  </si>
  <si>
    <t>Opnav B Prime 107</t>
  </si>
  <si>
    <t>Opnav B Prime 108</t>
  </si>
  <si>
    <t>Opnav B Prime 109</t>
  </si>
  <si>
    <t>Multispectral Light Curve 7</t>
  </si>
  <si>
    <t>Opnav B Prime 133</t>
  </si>
  <si>
    <t>Opnav B Prime 134</t>
  </si>
  <si>
    <t>Opnav B Prime 135</t>
  </si>
  <si>
    <t>Opnav B Prime 136</t>
  </si>
  <si>
    <t>Opnav B Prime 137</t>
  </si>
  <si>
    <t>NIS Cal target  9</t>
  </si>
  <si>
    <t>NIS_Caltarg_9: Standard NIS_CAL</t>
  </si>
  <si>
    <t>MSI Movie 7</t>
  </si>
  <si>
    <t>Bits/ pixel</t>
  </si>
  <si>
    <t>Filters</t>
  </si>
  <si>
    <t>Est.  comp.</t>
  </si>
  <si>
    <t>Mbits</t>
  </si>
  <si>
    <t>MSI_SatSrchD: Cover region (+/- 100 Er) with 13x8 mosaic.Slew so boresight moves .01deg/s in direction that is 3 long pixels by 50 urad in short pix direction. Take 3 pics for each position in mosaic, spaced 3 sec apart.  1 auto, 3 man  exp (999ms, FAST).</t>
  </si>
  <si>
    <t>Opnav B Prime 105</t>
  </si>
  <si>
    <t>Canopus Calibration 4 part b</t>
  </si>
  <si>
    <t>Canopus Calibration 4 part a</t>
  </si>
  <si>
    <t>Opnav B Prime 140</t>
  </si>
  <si>
    <t>7 filters every 12 deg for 1.1 Eros rotation.  Auto exp. (FAST) *EROS = 125 pixels</t>
  </si>
  <si>
    <t>1-7</t>
  </si>
  <si>
    <t>Opnav B Prime 126</t>
  </si>
  <si>
    <t>Opnav B Prime 127</t>
  </si>
  <si>
    <t>Opnav B Prime 128</t>
  </si>
  <si>
    <t>Opnav B Prime 129</t>
  </si>
  <si>
    <t>Opnav B Prime 130</t>
  </si>
  <si>
    <t>Opnav B Prime 131</t>
  </si>
  <si>
    <t>Opnav B Prime 132</t>
  </si>
  <si>
    <t>MSI_Movie3: one filter 4 image every 1/2 deg of rot. for 1.1 Eros rotation.  Auto exp. (TABLE5+FAST)</t>
  </si>
  <si>
    <t>downlink MSI_MSRot two times</t>
  </si>
  <si>
    <t>Satellite Search D (sun roll ref)</t>
  </si>
  <si>
    <t>Opnav B Prime 115</t>
  </si>
  <si>
    <t>MSI_Movie1: one filter 4 image every 1/2 deg of rot. for 1.1 Eros rotation.  Auto exp. (TABLE5+FAST)</t>
  </si>
  <si>
    <t>Multispectral Light Curve 8</t>
  </si>
  <si>
    <t>NIS Multispectral Light Curve 8</t>
  </si>
  <si>
    <t>Opnav B Prime 120</t>
  </si>
  <si>
    <t>All MSI data were lost on days 57 and 58 due to DPU error.</t>
  </si>
  <si>
    <t>OPBP_127:8 clr filter images 5 exposed for Eros, 3 exposed for stars (1 999 ms, 3 auto, 2 short, 2 999ms)</t>
  </si>
  <si>
    <t>OPBP_128:8 clr filter images 5 exposed for Eros, 3 exposed for stars (1 999 ms, 3 auto, 2 short, 2 999ms)</t>
  </si>
  <si>
    <t>OPBP_129:8 clr filter images 5 exposed for Eros, 3 exposed for stars (1 999 ms, 3 auto, 2 short, 2 999ms)</t>
  </si>
  <si>
    <t>OPBP_130:8 clr filter images 5 exposed for Eros, 3 exposed for stars (1 999 ms, 3 auto, 2 short, 2 999ms)</t>
  </si>
  <si>
    <t>OPBP_131:8 clr filter images 5 exposed for Eros, 3 exposed for stars (1 999 ms, 3 auto, 2 short, 2 999ms)</t>
  </si>
  <si>
    <t>OPBP_132:8 clr filter images 5 exposed for Eros, 3 exposed for stars (1 999 ms, 3 auto, 2 short, 2 999ms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</si>
</sst>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hh:mm"/>
    <numFmt numFmtId="167" formatCode="dd\.\ mmm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0"/>
      <color indexed="8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5">
    <xf numFmtId="0" fontId="0" fillId="0" borderId="0" xfId="0" applyAlignment="1">
      <alignment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16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20" fontId="4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16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20" fontId="4" fillId="3" borderId="1" xfId="0" applyNumberFormat="1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16" fontId="4" fillId="4" borderId="1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20" fontId="4" fillId="4" borderId="1" xfId="0" applyNumberFormat="1" applyFont="1" applyFill="1" applyBorder="1" applyAlignment="1">
      <alignment horizontal="center" vertical="top" wrapText="1"/>
    </xf>
    <xf numFmtId="0" fontId="4" fillId="4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/>
    </xf>
    <xf numFmtId="20" fontId="4" fillId="0" borderId="1" xfId="0" applyNumberFormat="1" applyFont="1" applyBorder="1" applyAlignment="1">
      <alignment horizontal="center" vertical="top" wrapText="1"/>
    </xf>
    <xf numFmtId="20" fontId="5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3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1" fontId="4" fillId="0" borderId="1" xfId="0" applyNumberFormat="1" applyFont="1" applyBorder="1" applyAlignment="1">
      <alignment vertical="top" wrapText="1"/>
    </xf>
    <xf numFmtId="1" fontId="4" fillId="2" borderId="1" xfId="0" applyNumberFormat="1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vertical="top" wrapText="1"/>
    </xf>
    <xf numFmtId="1" fontId="4" fillId="5" borderId="1" xfId="0" applyNumberFormat="1" applyFont="1" applyFill="1" applyBorder="1" applyAlignment="1">
      <alignment vertical="top" wrapText="1"/>
    </xf>
    <xf numFmtId="1" fontId="4" fillId="6" borderId="1" xfId="0" applyNumberFormat="1" applyFont="1" applyFill="1" applyBorder="1" applyAlignment="1">
      <alignment vertical="top" wrapText="1"/>
    </xf>
    <xf numFmtId="1" fontId="5" fillId="0" borderId="1" xfId="0" applyNumberFormat="1" applyFont="1" applyBorder="1" applyAlignment="1">
      <alignment vertical="top" wrapText="1"/>
    </xf>
    <xf numFmtId="1" fontId="5" fillId="4" borderId="1" xfId="0" applyNumberFormat="1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left"/>
    </xf>
    <xf numFmtId="1" fontId="4" fillId="7" borderId="1" xfId="0" applyNumberFormat="1" applyFont="1" applyFill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4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165" fontId="4" fillId="3" borderId="1" xfId="0" applyNumberFormat="1" applyFont="1" applyFill="1" applyBorder="1" applyAlignment="1">
      <alignment horizontal="center" vertical="top"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4" fillId="4" borderId="1" xfId="0" applyNumberFormat="1" applyFont="1" applyFill="1" applyBorder="1" applyAlignment="1">
      <alignment horizontal="center" vertical="top" wrapText="1"/>
    </xf>
    <xf numFmtId="20" fontId="4" fillId="3" borderId="1" xfId="0" applyNumberFormat="1" applyFont="1" applyFill="1" applyBorder="1" applyAlignment="1">
      <alignment horizontal="center" vertical="top"/>
    </xf>
    <xf numFmtId="20" fontId="4" fillId="2" borderId="1" xfId="0" applyNumberFormat="1" applyFont="1" applyFill="1" applyBorder="1" applyAlignment="1">
      <alignment horizontal="center" vertical="top"/>
    </xf>
    <xf numFmtId="20" fontId="4" fillId="4" borderId="1" xfId="0" applyNumberFormat="1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 wrapText="1"/>
    </xf>
    <xf numFmtId="1" fontId="4" fillId="3" borderId="3" xfId="0" applyNumberFormat="1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20" fontId="4" fillId="3" borderId="3" xfId="0" applyNumberFormat="1" applyFont="1" applyFill="1" applyBorder="1" applyAlignment="1">
      <alignment horizontal="center" vertical="top" wrapText="1"/>
    </xf>
    <xf numFmtId="20" fontId="4" fillId="3" borderId="3" xfId="0" applyNumberFormat="1" applyFont="1" applyFill="1" applyBorder="1" applyAlignment="1">
      <alignment horizontal="center" vertical="top"/>
    </xf>
    <xf numFmtId="0" fontId="4" fillId="3" borderId="3" xfId="0" applyNumberFormat="1" applyFont="1" applyFill="1" applyBorder="1" applyAlignment="1">
      <alignment horizontal="center" vertical="top" wrapText="1"/>
    </xf>
    <xf numFmtId="165" fontId="4" fillId="3" borderId="3" xfId="0" applyNumberFormat="1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1" fontId="4" fillId="2" borderId="3" xfId="0" applyNumberFormat="1" applyFont="1" applyFill="1" applyBorder="1" applyAlignment="1">
      <alignment vertical="top" wrapText="1"/>
    </xf>
    <xf numFmtId="16" fontId="4" fillId="2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20" fontId="4" fillId="2" borderId="3" xfId="0" applyNumberFormat="1" applyFont="1" applyFill="1" applyBorder="1" applyAlignment="1">
      <alignment horizontal="center" vertical="top" wrapText="1"/>
    </xf>
    <xf numFmtId="20" fontId="4" fillId="2" borderId="3" xfId="0" applyNumberFormat="1" applyFont="1" applyFill="1" applyBorder="1" applyAlignment="1">
      <alignment horizontal="center" vertical="top"/>
    </xf>
    <xf numFmtId="0" fontId="4" fillId="2" borderId="3" xfId="0" applyNumberFormat="1" applyFont="1" applyFill="1" applyBorder="1" applyAlignment="1">
      <alignment horizontal="center" vertical="top" wrapText="1"/>
    </xf>
    <xf numFmtId="2" fontId="4" fillId="2" borderId="3" xfId="0" applyNumberFormat="1" applyFont="1" applyFill="1" applyBorder="1" applyAlignment="1">
      <alignment horizontal="center" vertical="top" wrapText="1"/>
    </xf>
    <xf numFmtId="165" fontId="4" fillId="2" borderId="3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49" fontId="4" fillId="3" borderId="3" xfId="0" applyNumberFormat="1" applyFont="1" applyFill="1" applyBorder="1" applyAlignment="1">
      <alignment horizontal="center" vertical="top" wrapText="1"/>
    </xf>
    <xf numFmtId="49" fontId="4" fillId="4" borderId="1" xfId="0" applyNumberFormat="1" applyFont="1" applyFill="1" applyBorder="1" applyAlignment="1">
      <alignment horizontal="center" vertical="top" wrapText="1"/>
    </xf>
    <xf numFmtId="2" fontId="4" fillId="3" borderId="3" xfId="0" applyNumberFormat="1" applyFont="1" applyFill="1" applyBorder="1" applyAlignment="1">
      <alignment horizontal="center" vertical="top" wrapText="1"/>
    </xf>
    <xf numFmtId="16" fontId="4" fillId="3" borderId="3" xfId="0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vertical="top" wrapText="1"/>
    </xf>
    <xf numFmtId="1" fontId="4" fillId="3" borderId="5" xfId="0" applyNumberFormat="1" applyFont="1" applyFill="1" applyBorder="1" applyAlignment="1">
      <alignment vertical="top" wrapText="1"/>
    </xf>
    <xf numFmtId="16" fontId="4" fillId="3" borderId="5" xfId="0" applyNumberFormat="1" applyFont="1" applyFill="1" applyBorder="1" applyAlignment="1">
      <alignment horizontal="center" vertical="top" wrapText="1"/>
    </xf>
    <xf numFmtId="49" fontId="4" fillId="3" borderId="5" xfId="0" applyNumberFormat="1" applyFont="1" applyFill="1" applyBorder="1" applyAlignment="1">
      <alignment horizontal="center" vertical="top" wrapText="1"/>
    </xf>
    <xf numFmtId="20" fontId="4" fillId="3" borderId="5" xfId="0" applyNumberFormat="1" applyFont="1" applyFill="1" applyBorder="1" applyAlignment="1">
      <alignment horizontal="center" vertical="top" wrapText="1"/>
    </xf>
    <xf numFmtId="20" fontId="4" fillId="3" borderId="5" xfId="0" applyNumberFormat="1" applyFont="1" applyFill="1" applyBorder="1" applyAlignment="1">
      <alignment horizontal="center" vertical="top"/>
    </xf>
    <xf numFmtId="0" fontId="4" fillId="3" borderId="5" xfId="0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2" fontId="4" fillId="3" borderId="5" xfId="0" applyNumberFormat="1" applyFont="1" applyFill="1" applyBorder="1" applyAlignment="1">
      <alignment horizontal="center" vertical="top" wrapText="1"/>
    </xf>
    <xf numFmtId="165" fontId="4" fillId="3" borderId="5" xfId="0" applyNumberFormat="1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8" borderId="3" xfId="0" applyFont="1" applyFill="1" applyBorder="1" applyAlignment="1">
      <alignment vertical="top" wrapText="1"/>
    </xf>
    <xf numFmtId="1" fontId="4" fillId="8" borderId="3" xfId="0" applyNumberFormat="1" applyFont="1" applyFill="1" applyBorder="1" applyAlignment="1">
      <alignment vertical="top" wrapText="1"/>
    </xf>
    <xf numFmtId="16" fontId="4" fillId="8" borderId="3" xfId="0" applyNumberFormat="1" applyFont="1" applyFill="1" applyBorder="1" applyAlignment="1">
      <alignment horizontal="center" vertical="top" wrapText="1"/>
    </xf>
    <xf numFmtId="49" fontId="4" fillId="8" borderId="3" xfId="0" applyNumberFormat="1" applyFont="1" applyFill="1" applyBorder="1" applyAlignment="1">
      <alignment horizontal="center" vertical="top" wrapText="1"/>
    </xf>
    <xf numFmtId="20" fontId="4" fillId="8" borderId="3" xfId="0" applyNumberFormat="1" applyFont="1" applyFill="1" applyBorder="1" applyAlignment="1">
      <alignment horizontal="center" vertical="top" wrapText="1"/>
    </xf>
    <xf numFmtId="20" fontId="4" fillId="8" borderId="3" xfId="0" applyNumberFormat="1" applyFont="1" applyFill="1" applyBorder="1" applyAlignment="1">
      <alignment horizontal="center" vertical="top"/>
    </xf>
    <xf numFmtId="0" fontId="4" fillId="8" borderId="3" xfId="0" applyFont="1" applyFill="1" applyBorder="1" applyAlignment="1">
      <alignment horizontal="center" vertical="top" wrapText="1"/>
    </xf>
    <xf numFmtId="0" fontId="4" fillId="8" borderId="3" xfId="0" applyNumberFormat="1" applyFont="1" applyFill="1" applyBorder="1" applyAlignment="1">
      <alignment horizontal="center" vertical="top" wrapText="1"/>
    </xf>
    <xf numFmtId="2" fontId="4" fillId="8" borderId="3" xfId="0" applyNumberFormat="1" applyFont="1" applyFill="1" applyBorder="1" applyAlignment="1">
      <alignment horizontal="center" vertical="top" wrapText="1"/>
    </xf>
    <xf numFmtId="165" fontId="4" fillId="8" borderId="3" xfId="0" applyNumberFormat="1" applyFont="1" applyFill="1" applyBorder="1" applyAlignment="1">
      <alignment horizontal="center" vertical="top" wrapText="1"/>
    </xf>
    <xf numFmtId="0" fontId="4" fillId="8" borderId="4" xfId="0" applyFont="1" applyFill="1" applyBorder="1" applyAlignment="1">
      <alignment vertical="top" wrapText="1"/>
    </xf>
    <xf numFmtId="20" fontId="4" fillId="7" borderId="1" xfId="0" applyNumberFormat="1" applyFont="1" applyFill="1" applyBorder="1" applyAlignment="1">
      <alignment horizontal="center" vertical="top"/>
    </xf>
    <xf numFmtId="0" fontId="4" fillId="7" borderId="1" xfId="0" applyFont="1" applyFill="1" applyBorder="1" applyAlignment="1">
      <alignment horizontal="right" vertical="top" wrapText="1"/>
    </xf>
    <xf numFmtId="0" fontId="4" fillId="7" borderId="3" xfId="0" applyFont="1" applyFill="1" applyBorder="1" applyAlignment="1">
      <alignment vertical="top" wrapText="1"/>
    </xf>
    <xf numFmtId="16" fontId="4" fillId="7" borderId="3" xfId="0" applyNumberFormat="1" applyFont="1" applyFill="1" applyBorder="1" applyAlignment="1">
      <alignment horizontal="center" vertical="top" wrapText="1"/>
    </xf>
    <xf numFmtId="49" fontId="4" fillId="7" borderId="3" xfId="0" applyNumberFormat="1" applyFont="1" applyFill="1" applyBorder="1" applyAlignment="1">
      <alignment horizontal="center" vertical="top" wrapText="1"/>
    </xf>
    <xf numFmtId="20" fontId="4" fillId="7" borderId="1" xfId="0" applyNumberFormat="1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top" wrapText="1"/>
    </xf>
    <xf numFmtId="0" fontId="4" fillId="7" borderId="1" xfId="0" applyNumberFormat="1" applyFont="1" applyFill="1" applyBorder="1" applyAlignment="1">
      <alignment horizontal="center" vertical="top" wrapText="1"/>
    </xf>
    <xf numFmtId="1" fontId="4" fillId="7" borderId="1" xfId="0" applyNumberFormat="1" applyFont="1" applyFill="1" applyBorder="1" applyAlignment="1">
      <alignment horizontal="center" vertical="top" wrapText="1"/>
    </xf>
    <xf numFmtId="2" fontId="4" fillId="7" borderId="1" xfId="0" applyNumberFormat="1" applyFont="1" applyFill="1" applyBorder="1" applyAlignment="1">
      <alignment horizontal="center" vertical="top" wrapText="1"/>
    </xf>
    <xf numFmtId="49" fontId="4" fillId="7" borderId="1" xfId="0" applyNumberFormat="1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vertical="top" wrapText="1"/>
    </xf>
    <xf numFmtId="0" fontId="4" fillId="7" borderId="1" xfId="0" applyFont="1" applyFill="1" applyBorder="1" applyAlignment="1">
      <alignment vertical="top" wrapText="1"/>
    </xf>
    <xf numFmtId="0" fontId="4" fillId="7" borderId="8" xfId="0" applyFont="1" applyFill="1" applyBorder="1" applyAlignment="1">
      <alignment horizontal="center"/>
    </xf>
    <xf numFmtId="16" fontId="4" fillId="7" borderId="8" xfId="0" applyNumberFormat="1" applyFont="1" applyFill="1" applyBorder="1" applyAlignment="1">
      <alignment horizontal="center"/>
    </xf>
    <xf numFmtId="20" fontId="4" fillId="7" borderId="8" xfId="0" applyNumberFormat="1" applyFont="1" applyFill="1" applyBorder="1" applyAlignment="1">
      <alignment horizontal="center"/>
    </xf>
    <xf numFmtId="20" fontId="4" fillId="7" borderId="8" xfId="0" applyNumberFormat="1" applyFont="1" applyFill="1" applyBorder="1" applyAlignment="1">
      <alignment horizontal="center" vertical="top"/>
    </xf>
    <xf numFmtId="0" fontId="4" fillId="7" borderId="9" xfId="0" applyFont="1" applyFill="1" applyBorder="1" applyAlignment="1">
      <alignment horizontal="left"/>
    </xf>
    <xf numFmtId="49" fontId="4" fillId="0" borderId="2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4" fillId="7" borderId="2" xfId="0" applyNumberFormat="1" applyFont="1" applyFill="1" applyBorder="1" applyAlignment="1">
      <alignment horizontal="center" vertical="top" wrapText="1"/>
    </xf>
    <xf numFmtId="0" fontId="4" fillId="3" borderId="4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top" wrapText="1"/>
    </xf>
    <xf numFmtId="0" fontId="4" fillId="7" borderId="9" xfId="0" applyFont="1" applyFill="1" applyBorder="1" applyAlignment="1">
      <alignment horizontal="center"/>
    </xf>
    <xf numFmtId="49" fontId="4" fillId="8" borderId="4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0" fontId="4" fillId="7" borderId="10" xfId="0" applyFont="1" applyFill="1" applyBorder="1" applyAlignment="1">
      <alignment horizontal="center" vertical="top" wrapText="1"/>
    </xf>
    <xf numFmtId="2" fontId="4" fillId="7" borderId="10" xfId="0" applyNumberFormat="1" applyFont="1" applyFill="1" applyBorder="1" applyAlignment="1">
      <alignment horizontal="center" vertical="top" wrapText="1"/>
    </xf>
    <xf numFmtId="1" fontId="4" fillId="7" borderId="10" xfId="0" applyNumberFormat="1" applyFont="1" applyFill="1" applyBorder="1" applyAlignment="1">
      <alignment vertical="top" wrapText="1"/>
    </xf>
    <xf numFmtId="0" fontId="4" fillId="7" borderId="10" xfId="0" applyFont="1" applyFill="1" applyBorder="1" applyAlignment="1">
      <alignment vertical="top" wrapText="1"/>
    </xf>
    <xf numFmtId="16" fontId="4" fillId="7" borderId="10" xfId="0" applyNumberFormat="1" applyFont="1" applyFill="1" applyBorder="1" applyAlignment="1">
      <alignment horizontal="center" vertical="top" wrapText="1"/>
    </xf>
    <xf numFmtId="49" fontId="4" fillId="7" borderId="10" xfId="0" applyNumberFormat="1" applyFont="1" applyFill="1" applyBorder="1" applyAlignment="1">
      <alignment horizontal="center" vertical="top" wrapText="1"/>
    </xf>
    <xf numFmtId="20" fontId="4" fillId="7" borderId="10" xfId="0" applyNumberFormat="1" applyFont="1" applyFill="1" applyBorder="1" applyAlignment="1">
      <alignment horizontal="center" vertical="top" wrapText="1"/>
    </xf>
    <xf numFmtId="20" fontId="4" fillId="7" borderId="10" xfId="0" applyNumberFormat="1" applyFont="1" applyFill="1" applyBorder="1" applyAlignment="1">
      <alignment horizontal="center" vertical="top"/>
    </xf>
    <xf numFmtId="0" fontId="4" fillId="7" borderId="10" xfId="0" applyNumberFormat="1" applyFont="1" applyFill="1" applyBorder="1" applyAlignment="1">
      <alignment horizontal="center" vertical="top" wrapText="1"/>
    </xf>
    <xf numFmtId="16" fontId="4" fillId="7" borderId="1" xfId="0" applyNumberFormat="1" applyFont="1" applyFill="1" applyBorder="1" applyAlignment="1">
      <alignment horizontal="center" vertical="top" wrapText="1"/>
    </xf>
    <xf numFmtId="1" fontId="4" fillId="2" borderId="7" xfId="0" applyNumberFormat="1" applyFont="1" applyFill="1" applyBorder="1" applyAlignment="1">
      <alignment vertical="top" wrapText="1"/>
    </xf>
    <xf numFmtId="16" fontId="4" fillId="2" borderId="7" xfId="0" applyNumberFormat="1" applyFont="1" applyFill="1" applyBorder="1" applyAlignment="1">
      <alignment horizontal="center" vertical="top" wrapText="1"/>
    </xf>
    <xf numFmtId="49" fontId="4" fillId="2" borderId="7" xfId="0" applyNumberFormat="1" applyFont="1" applyFill="1" applyBorder="1" applyAlignment="1">
      <alignment horizontal="center" vertical="top" wrapText="1"/>
    </xf>
    <xf numFmtId="20" fontId="4" fillId="2" borderId="7" xfId="0" applyNumberFormat="1" applyFont="1" applyFill="1" applyBorder="1" applyAlignment="1">
      <alignment horizontal="center" vertical="top" wrapText="1"/>
    </xf>
    <xf numFmtId="20" fontId="4" fillId="2" borderId="7" xfId="0" applyNumberFormat="1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2" fontId="4" fillId="2" borderId="7" xfId="0" applyNumberFormat="1" applyFont="1" applyFill="1" applyBorder="1" applyAlignment="1">
      <alignment horizontal="center" vertical="top" wrapText="1"/>
    </xf>
    <xf numFmtId="165" fontId="4" fillId="2" borderId="7" xfId="0" applyNumberFormat="1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vertical="top" wrapText="1"/>
    </xf>
    <xf numFmtId="0" fontId="4" fillId="7" borderId="10" xfId="0" applyFont="1" applyFill="1" applyBorder="1" applyAlignment="1">
      <alignment horizontal="right" vertical="top" wrapText="1"/>
    </xf>
    <xf numFmtId="0" fontId="4" fillId="7" borderId="8" xfId="0" applyFont="1" applyFill="1" applyBorder="1" applyAlignment="1">
      <alignment vertical="top" wrapText="1"/>
    </xf>
    <xf numFmtId="16" fontId="4" fillId="7" borderId="8" xfId="0" applyNumberFormat="1" applyFont="1" applyFill="1" applyBorder="1" applyAlignment="1">
      <alignment horizontal="center" vertical="top" wrapText="1"/>
    </xf>
    <xf numFmtId="49" fontId="4" fillId="7" borderId="8" xfId="0" applyNumberFormat="1" applyFont="1" applyFill="1" applyBorder="1" applyAlignment="1">
      <alignment horizontal="center" vertical="top" wrapText="1"/>
    </xf>
    <xf numFmtId="49" fontId="4" fillId="7" borderId="12" xfId="0" applyNumberFormat="1" applyFont="1" applyFill="1" applyBorder="1" applyAlignment="1">
      <alignment horizontal="center" vertical="top" wrapText="1"/>
    </xf>
    <xf numFmtId="0" fontId="4" fillId="7" borderId="12" xfId="0" applyFont="1" applyFill="1" applyBorder="1" applyAlignment="1">
      <alignment vertical="top" wrapText="1"/>
    </xf>
    <xf numFmtId="49" fontId="4" fillId="2" borderId="11" xfId="0" applyNumberFormat="1" applyFont="1" applyFill="1" applyBorder="1" applyAlignment="1">
      <alignment horizontal="center" vertical="top" wrapText="1"/>
    </xf>
    <xf numFmtId="49" fontId="4" fillId="3" borderId="4" xfId="0" applyNumberFormat="1" applyFont="1" applyFill="1" applyBorder="1" applyAlignment="1">
      <alignment horizontal="center" vertical="top" wrapText="1"/>
    </xf>
    <xf numFmtId="16" fontId="4" fillId="2" borderId="1" xfId="0" applyNumberFormat="1" applyFont="1" applyFill="1" applyBorder="1" applyAlignment="1" quotePrefix="1">
      <alignment horizontal="center" vertical="top" wrapText="1"/>
    </xf>
    <xf numFmtId="0" fontId="4" fillId="6" borderId="1" xfId="0" applyFont="1" applyFill="1" applyBorder="1" applyAlignment="1">
      <alignment horizontal="right" vertical="top" wrapText="1"/>
    </xf>
    <xf numFmtId="0" fontId="4" fillId="6" borderId="3" xfId="0" applyFont="1" applyFill="1" applyBorder="1" applyAlignment="1">
      <alignment vertical="top" wrapText="1"/>
    </xf>
    <xf numFmtId="16" fontId="4" fillId="6" borderId="3" xfId="0" applyNumberFormat="1" applyFont="1" applyFill="1" applyBorder="1" applyAlignment="1">
      <alignment horizontal="center" vertical="top" wrapText="1"/>
    </xf>
    <xf numFmtId="49" fontId="4" fillId="6" borderId="3" xfId="0" applyNumberFormat="1" applyFont="1" applyFill="1" applyBorder="1" applyAlignment="1">
      <alignment horizontal="center" vertical="top" wrapText="1"/>
    </xf>
    <xf numFmtId="20" fontId="4" fillId="6" borderId="1" xfId="0" applyNumberFormat="1" applyFont="1" applyFill="1" applyBorder="1" applyAlignment="1">
      <alignment horizontal="center" vertical="top" wrapText="1"/>
    </xf>
    <xf numFmtId="20" fontId="4" fillId="6" borderId="1" xfId="0" applyNumberFormat="1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center" vertical="top" wrapText="1"/>
    </xf>
    <xf numFmtId="0" fontId="4" fillId="6" borderId="1" xfId="0" applyNumberFormat="1" applyFont="1" applyFill="1" applyBorder="1" applyAlignment="1">
      <alignment horizontal="center" vertical="top" wrapText="1"/>
    </xf>
    <xf numFmtId="2" fontId="4" fillId="6" borderId="1" xfId="0" applyNumberFormat="1" applyFont="1" applyFill="1" applyBorder="1" applyAlignment="1">
      <alignment horizontal="center" vertical="top" wrapText="1"/>
    </xf>
    <xf numFmtId="49" fontId="4" fillId="6" borderId="1" xfId="0" applyNumberFormat="1" applyFont="1" applyFill="1" applyBorder="1" applyAlignment="1">
      <alignment horizontal="center" vertical="top" wrapText="1"/>
    </xf>
    <xf numFmtId="49" fontId="4" fillId="6" borderId="2" xfId="0" applyNumberFormat="1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vertical="top" wrapText="1"/>
    </xf>
    <xf numFmtId="0" fontId="4" fillId="6" borderId="1" xfId="0" applyFont="1" applyFill="1" applyBorder="1" applyAlignment="1">
      <alignment vertical="top" wrapText="1"/>
    </xf>
    <xf numFmtId="0" fontId="6" fillId="9" borderId="13" xfId="0" applyFont="1" applyFill="1" applyAlignment="1">
      <alignment horizontal="right" vertical="top" wrapText="1"/>
    </xf>
    <xf numFmtId="1" fontId="6" fillId="9" borderId="13" xfId="0" applyFont="1" applyFill="1" applyAlignment="1">
      <alignment vertical="top" wrapText="1"/>
    </xf>
    <xf numFmtId="0" fontId="6" fillId="9" borderId="13" xfId="0" applyFont="1" applyFill="1" applyAlignment="1">
      <alignment horizontal="center" vertical="top" wrapText="1"/>
    </xf>
    <xf numFmtId="16" fontId="6" fillId="9" borderId="13" xfId="0" applyNumberFormat="1" applyFont="1" applyFill="1" applyAlignment="1">
      <alignment horizontal="center" vertical="top" wrapText="1"/>
    </xf>
    <xf numFmtId="49" fontId="6" fillId="9" borderId="13" xfId="0" applyFont="1" applyFill="1" applyAlignment="1">
      <alignment horizontal="center" vertical="top" wrapText="1"/>
    </xf>
    <xf numFmtId="166" fontId="6" fillId="9" borderId="13" xfId="0" applyFont="1" applyFill="1" applyAlignment="1">
      <alignment horizontal="center" vertical="top" wrapText="1"/>
    </xf>
    <xf numFmtId="166" fontId="6" fillId="9" borderId="13" xfId="0" applyFont="1" applyFill="1" applyAlignment="1">
      <alignment horizontal="center" vertical="top"/>
    </xf>
    <xf numFmtId="2" fontId="6" fillId="9" borderId="13" xfId="0" applyFont="1" applyFill="1" applyAlignment="1">
      <alignment horizontal="center" vertical="top" wrapText="1"/>
    </xf>
    <xf numFmtId="0" fontId="6" fillId="9" borderId="13" xfId="0" applyFont="1" applyFill="1" applyAlignment="1">
      <alignment vertical="top" wrapText="1"/>
    </xf>
    <xf numFmtId="0" fontId="6" fillId="10" borderId="13" xfId="0" applyFont="1" applyFill="1" applyAlignment="1">
      <alignment vertical="top" wrapText="1"/>
    </xf>
    <xf numFmtId="0" fontId="6" fillId="10" borderId="13" xfId="0" applyFont="1" applyFill="1" applyAlignment="1">
      <alignment horizontal="center" vertical="top" wrapText="1"/>
    </xf>
    <xf numFmtId="16" fontId="6" fillId="10" borderId="13" xfId="0" applyNumberFormat="1" applyFont="1" applyFill="1" applyAlignment="1">
      <alignment horizontal="center" vertical="top" wrapText="1"/>
    </xf>
    <xf numFmtId="49" fontId="6" fillId="10" borderId="13" xfId="0" applyFont="1" applyFill="1" applyAlignment="1">
      <alignment horizontal="center" vertical="top" wrapText="1"/>
    </xf>
    <xf numFmtId="166" fontId="6" fillId="10" borderId="13" xfId="0" applyFont="1" applyFill="1" applyAlignment="1">
      <alignment horizontal="center" vertical="top" wrapText="1"/>
    </xf>
    <xf numFmtId="166" fontId="6" fillId="10" borderId="13" xfId="0" applyFont="1" applyFill="1" applyAlignment="1">
      <alignment horizontal="center" vertical="top"/>
    </xf>
    <xf numFmtId="2" fontId="6" fillId="10" borderId="13" xfId="0" applyFont="1" applyFill="1" applyAlignment="1">
      <alignment horizontal="center" vertical="top" wrapText="1"/>
    </xf>
    <xf numFmtId="165" fontId="6" fillId="10" borderId="13" xfId="0" applyFont="1" applyFill="1" applyAlignment="1">
      <alignment horizontal="center" vertical="top" wrapText="1"/>
    </xf>
    <xf numFmtId="49" fontId="6" fillId="10" borderId="14" xfId="0" applyFont="1" applyFill="1" applyAlignment="1">
      <alignment horizontal="center" vertical="top" wrapText="1"/>
    </xf>
    <xf numFmtId="0" fontId="6" fillId="10" borderId="14" xfId="0" applyFont="1" applyFill="1" applyAlignment="1">
      <alignment vertical="top" wrapText="1"/>
    </xf>
    <xf numFmtId="0" fontId="6" fillId="11" borderId="13" xfId="0" applyFont="1" applyFill="1" applyAlignment="1">
      <alignment vertical="top" wrapText="1"/>
    </xf>
    <xf numFmtId="1" fontId="6" fillId="11" borderId="13" xfId="0" applyFont="1" applyFill="1" applyAlignment="1">
      <alignment vertical="top" wrapText="1"/>
    </xf>
    <xf numFmtId="16" fontId="6" fillId="11" borderId="13" xfId="0" applyNumberFormat="1" applyFont="1" applyFill="1" applyAlignment="1">
      <alignment horizontal="center" vertical="top" wrapText="1"/>
    </xf>
    <xf numFmtId="49" fontId="6" fillId="11" borderId="13" xfId="0" applyFont="1" applyFill="1" applyAlignment="1">
      <alignment horizontal="center" vertical="top" wrapText="1"/>
    </xf>
    <xf numFmtId="166" fontId="6" fillId="11" borderId="13" xfId="0" applyFont="1" applyFill="1" applyAlignment="1">
      <alignment horizontal="center" vertical="top" wrapText="1"/>
    </xf>
    <xf numFmtId="166" fontId="6" fillId="11" borderId="13" xfId="0" applyFont="1" applyFill="1" applyAlignment="1">
      <alignment horizontal="center" vertical="top"/>
    </xf>
    <xf numFmtId="0" fontId="6" fillId="11" borderId="13" xfId="0" applyFont="1" applyFill="1" applyAlignment="1">
      <alignment horizontal="center" vertical="top" wrapText="1"/>
    </xf>
    <xf numFmtId="2" fontId="6" fillId="11" borderId="13" xfId="0" applyFont="1" applyFill="1" applyAlignment="1">
      <alignment horizontal="center" vertical="top" wrapText="1"/>
    </xf>
    <xf numFmtId="165" fontId="6" fillId="11" borderId="13" xfId="0" applyFont="1" applyFill="1" applyAlignment="1">
      <alignment horizontal="center" vertical="top" wrapText="1"/>
    </xf>
    <xf numFmtId="0" fontId="6" fillId="11" borderId="14" xfId="0" applyFont="1" applyFill="1" applyAlignment="1">
      <alignment vertical="top" wrapText="1"/>
    </xf>
    <xf numFmtId="49" fontId="6" fillId="11" borderId="14" xfId="0" applyFont="1" applyFill="1" applyAlignment="1">
      <alignment horizontal="center" vertical="top" wrapText="1"/>
    </xf>
    <xf numFmtId="0" fontId="6" fillId="11" borderId="13" xfId="0" applyFont="1" applyFill="1" applyAlignment="1">
      <alignment vertical="top"/>
    </xf>
    <xf numFmtId="0" fontId="6" fillId="12" borderId="13" xfId="0" applyFont="1" applyFill="1" applyAlignment="1">
      <alignment horizontal="right" vertical="top" wrapText="1"/>
    </xf>
    <xf numFmtId="1" fontId="6" fillId="12" borderId="13" xfId="0" applyFont="1" applyFill="1" applyAlignment="1">
      <alignment vertical="top" wrapText="1"/>
    </xf>
    <xf numFmtId="0" fontId="6" fillId="12" borderId="13" xfId="0" applyFont="1" applyFill="1" applyAlignment="1">
      <alignment horizontal="center" vertical="top" wrapText="1"/>
    </xf>
    <xf numFmtId="16" fontId="6" fillId="12" borderId="15" xfId="0" applyNumberFormat="1" applyFont="1" applyFill="1" applyAlignment="1">
      <alignment horizontal="center" vertical="top" wrapText="1"/>
    </xf>
    <xf numFmtId="49" fontId="6" fillId="12" borderId="15" xfId="0" applyFont="1" applyFill="1" applyAlignment="1">
      <alignment horizontal="center" vertical="top" wrapText="1"/>
    </xf>
    <xf numFmtId="166" fontId="6" fillId="12" borderId="13" xfId="0" applyFont="1" applyFill="1" applyAlignment="1">
      <alignment horizontal="center" vertical="top" wrapText="1"/>
    </xf>
    <xf numFmtId="166" fontId="6" fillId="12" borderId="13" xfId="0" applyFont="1" applyFill="1" applyAlignment="1">
      <alignment horizontal="center" vertical="top"/>
    </xf>
    <xf numFmtId="1" fontId="6" fillId="12" borderId="13" xfId="0" applyFont="1" applyFill="1" applyAlignment="1">
      <alignment horizontal="center" vertical="top" wrapText="1"/>
    </xf>
    <xf numFmtId="2" fontId="6" fillId="12" borderId="13" xfId="0" applyFont="1" applyFill="1" applyAlignment="1">
      <alignment horizontal="center" vertical="top" wrapText="1"/>
    </xf>
    <xf numFmtId="49" fontId="6" fillId="12" borderId="13" xfId="0" applyFont="1" applyFill="1" applyAlignment="1">
      <alignment horizontal="center" vertical="top" wrapText="1"/>
    </xf>
    <xf numFmtId="49" fontId="6" fillId="12" borderId="14" xfId="0" applyFont="1" applyFill="1" applyAlignment="1">
      <alignment horizontal="center" vertical="top" wrapText="1"/>
    </xf>
    <xf numFmtId="0" fontId="6" fillId="12" borderId="14" xfId="0" applyFont="1" applyFill="1" applyAlignment="1">
      <alignment vertical="top" wrapText="1"/>
    </xf>
    <xf numFmtId="0" fontId="6" fillId="12" borderId="13" xfId="0" applyFont="1" applyFill="1" applyAlignment="1">
      <alignment vertical="top" wrapText="1"/>
    </xf>
    <xf numFmtId="0" fontId="6" fillId="13" borderId="13" xfId="0" applyFont="1" applyFill="1" applyAlignment="1">
      <alignment vertical="top" wrapText="1"/>
    </xf>
    <xf numFmtId="1" fontId="6" fillId="13" borderId="13" xfId="0" applyFont="1" applyFill="1" applyAlignment="1">
      <alignment vertical="top" wrapText="1"/>
    </xf>
    <xf numFmtId="16" fontId="6" fillId="13" borderId="13" xfId="0" applyNumberFormat="1" applyFont="1" applyFill="1" applyAlignment="1">
      <alignment horizontal="center" vertical="top" wrapText="1"/>
    </xf>
    <xf numFmtId="49" fontId="6" fillId="13" borderId="13" xfId="0" applyFont="1" applyFill="1" applyAlignment="1">
      <alignment horizontal="center" vertical="top" wrapText="1"/>
    </xf>
    <xf numFmtId="166" fontId="6" fillId="13" borderId="13" xfId="0" applyFont="1" applyFill="1" applyAlignment="1">
      <alignment horizontal="center" vertical="top" wrapText="1"/>
    </xf>
    <xf numFmtId="0" fontId="6" fillId="13" borderId="13" xfId="0" applyFont="1" applyFill="1" applyAlignment="1">
      <alignment horizontal="center" vertical="top" wrapText="1"/>
    </xf>
    <xf numFmtId="166" fontId="6" fillId="13" borderId="13" xfId="0" applyFont="1" applyFill="1" applyAlignment="1">
      <alignment horizontal="center" vertical="top"/>
    </xf>
    <xf numFmtId="2" fontId="6" fillId="13" borderId="13" xfId="0" applyFont="1" applyFill="1" applyAlignment="1">
      <alignment horizontal="center" vertical="top" wrapText="1"/>
    </xf>
    <xf numFmtId="165" fontId="6" fillId="13" borderId="13" xfId="0" applyFont="1" applyFill="1" applyAlignment="1">
      <alignment horizontal="center" vertical="top" wrapText="1"/>
    </xf>
    <xf numFmtId="16" fontId="6" fillId="12" borderId="13" xfId="0" applyNumberFormat="1" applyFont="1" applyFill="1" applyAlignment="1">
      <alignment horizontal="center" vertical="top" wrapText="1"/>
    </xf>
    <xf numFmtId="0" fontId="6" fillId="10" borderId="13" xfId="0" applyFont="1" applyFill="1" applyAlignment="1">
      <alignment horizontal="left" vertical="top"/>
    </xf>
    <xf numFmtId="0" fontId="6" fillId="10" borderId="13" xfId="0" applyFont="1" applyFill="1" applyAlignment="1">
      <alignment horizontal="center" vertical="top"/>
    </xf>
    <xf numFmtId="0" fontId="6" fillId="11" borderId="13" xfId="0" applyFont="1" applyFill="1" applyAlignment="1">
      <alignment horizontal="left" vertical="top"/>
    </xf>
    <xf numFmtId="0" fontId="6" fillId="11" borderId="13" xfId="0" applyFont="1" applyFill="1" applyAlignment="1">
      <alignment horizontal="center" vertical="top"/>
    </xf>
    <xf numFmtId="0" fontId="6" fillId="12" borderId="16" xfId="0" applyFont="1" applyFill="1" applyBorder="1" applyAlignment="1">
      <alignment horizontal="right" vertical="top" wrapText="1"/>
    </xf>
    <xf numFmtId="1" fontId="6" fillId="12" borderId="16" xfId="0" applyFont="1" applyFill="1" applyBorder="1" applyAlignment="1">
      <alignment vertical="top" wrapText="1"/>
    </xf>
    <xf numFmtId="0" fontId="6" fillId="12" borderId="16" xfId="0" applyFont="1" applyFill="1" applyBorder="1" applyAlignment="1">
      <alignment horizontal="center" vertical="top" wrapText="1"/>
    </xf>
    <xf numFmtId="16" fontId="6" fillId="12" borderId="16" xfId="0" applyNumberFormat="1" applyFont="1" applyFill="1" applyBorder="1" applyAlignment="1">
      <alignment horizontal="center" vertical="top" wrapText="1"/>
    </xf>
    <xf numFmtId="49" fontId="6" fillId="12" borderId="16" xfId="0" applyFont="1" applyFill="1" applyBorder="1" applyAlignment="1">
      <alignment horizontal="center" vertical="top" wrapText="1"/>
    </xf>
    <xf numFmtId="166" fontId="6" fillId="12" borderId="16" xfId="0" applyFont="1" applyFill="1" applyBorder="1" applyAlignment="1">
      <alignment horizontal="center" vertical="top" wrapText="1"/>
    </xf>
    <xf numFmtId="166" fontId="6" fillId="12" borderId="16" xfId="0" applyFont="1" applyFill="1" applyBorder="1" applyAlignment="1">
      <alignment horizontal="center" vertical="top"/>
    </xf>
    <xf numFmtId="2" fontId="6" fillId="12" borderId="16" xfId="0" applyFont="1" applyFill="1" applyBorder="1" applyAlignment="1">
      <alignment horizontal="center" vertical="top" wrapText="1"/>
    </xf>
    <xf numFmtId="0" fontId="6" fillId="12" borderId="16" xfId="0" applyFont="1" applyFill="1" applyBorder="1" applyAlignment="1">
      <alignment vertical="top" wrapText="1"/>
    </xf>
    <xf numFmtId="16" fontId="6" fillId="10" borderId="13" xfId="0" applyNumberFormat="1" applyFont="1" applyFill="1" applyAlignment="1">
      <alignment horizontal="center" vertical="top"/>
    </xf>
    <xf numFmtId="49" fontId="6" fillId="10" borderId="13" xfId="0" applyFont="1" applyFill="1" applyAlignment="1">
      <alignment horizontal="center" vertical="top"/>
    </xf>
    <xf numFmtId="0" fontId="6" fillId="10" borderId="17" xfId="0" applyFont="1" applyFill="1" applyAlignment="1">
      <alignment horizontal="left" vertical="top"/>
    </xf>
    <xf numFmtId="0" fontId="6" fillId="10" borderId="17" xfId="0" applyFont="1" applyFill="1" applyAlignment="1">
      <alignment vertical="top" wrapText="1"/>
    </xf>
    <xf numFmtId="16" fontId="6" fillId="10" borderId="17" xfId="0" applyNumberFormat="1" applyFont="1" applyFill="1" applyAlignment="1">
      <alignment horizontal="center" vertical="top"/>
    </xf>
    <xf numFmtId="49" fontId="6" fillId="10" borderId="17" xfId="0" applyFont="1" applyFill="1" applyAlignment="1">
      <alignment horizontal="center" vertical="top"/>
    </xf>
    <xf numFmtId="166" fontId="6" fillId="10" borderId="17" xfId="0" applyFont="1" applyFill="1" applyAlignment="1">
      <alignment horizontal="center" vertical="top"/>
    </xf>
    <xf numFmtId="0" fontId="6" fillId="10" borderId="17" xfId="0" applyFont="1" applyFill="1" applyAlignment="1">
      <alignment horizontal="center" vertical="top"/>
    </xf>
    <xf numFmtId="0" fontId="6" fillId="10" borderId="17" xfId="0" applyFont="1" applyFill="1" applyAlignment="1">
      <alignment horizontal="center" vertical="top" wrapText="1"/>
    </xf>
    <xf numFmtId="2" fontId="6" fillId="10" borderId="17" xfId="0" applyFont="1" applyFill="1" applyAlignment="1">
      <alignment horizontal="center" vertical="top" wrapText="1"/>
    </xf>
    <xf numFmtId="165" fontId="6" fillId="10" borderId="17" xfId="0" applyFont="1" applyFill="1" applyAlignment="1">
      <alignment horizontal="center" vertical="top" wrapText="1"/>
    </xf>
    <xf numFmtId="49" fontId="6" fillId="10" borderId="17" xfId="0" applyFont="1" applyFill="1" applyAlignment="1">
      <alignment horizontal="center" vertical="top" wrapText="1"/>
    </xf>
    <xf numFmtId="1" fontId="6" fillId="12" borderId="18" xfId="0" applyFont="1" applyFill="1" applyAlignment="1">
      <alignment vertical="top" wrapText="1"/>
    </xf>
    <xf numFmtId="16" fontId="6" fillId="12" borderId="18" xfId="0" applyNumberFormat="1" applyFont="1" applyFill="1" applyAlignment="1">
      <alignment horizontal="center" vertical="top" wrapText="1"/>
    </xf>
    <xf numFmtId="49" fontId="6" fillId="12" borderId="18" xfId="0" applyFont="1" applyFill="1" applyAlignment="1">
      <alignment horizontal="center" vertical="top" wrapText="1"/>
    </xf>
    <xf numFmtId="166" fontId="6" fillId="12" borderId="18" xfId="0" applyFont="1" applyFill="1" applyAlignment="1">
      <alignment horizontal="center" vertical="top" wrapText="1"/>
    </xf>
    <xf numFmtId="166" fontId="6" fillId="12" borderId="18" xfId="0" applyFont="1" applyFill="1" applyAlignment="1">
      <alignment horizontal="center" vertical="top"/>
    </xf>
    <xf numFmtId="0" fontId="6" fillId="12" borderId="18" xfId="0" applyFont="1" applyFill="1" applyAlignment="1">
      <alignment horizontal="center" vertical="top" wrapText="1"/>
    </xf>
    <xf numFmtId="2" fontId="6" fillId="12" borderId="18" xfId="0" applyFont="1" applyFill="1" applyAlignment="1">
      <alignment horizontal="center" vertical="top" wrapText="1"/>
    </xf>
    <xf numFmtId="0" fontId="6" fillId="12" borderId="18" xfId="0" applyFont="1" applyFill="1" applyAlignment="1">
      <alignment vertical="top" wrapText="1"/>
    </xf>
    <xf numFmtId="0" fontId="6" fillId="10" borderId="15" xfId="0" applyFont="1" applyFill="1" applyAlignment="1">
      <alignment horizontal="left" vertical="top"/>
    </xf>
    <xf numFmtId="0" fontId="6" fillId="10" borderId="15" xfId="0" applyFont="1" applyFill="1" applyAlignment="1">
      <alignment vertical="top" wrapText="1"/>
    </xf>
    <xf numFmtId="16" fontId="6" fillId="10" borderId="15" xfId="0" applyNumberFormat="1" applyFont="1" applyFill="1" applyAlignment="1">
      <alignment horizontal="center" vertical="top"/>
    </xf>
    <xf numFmtId="49" fontId="6" fillId="10" borderId="15" xfId="0" applyFont="1" applyFill="1" applyAlignment="1">
      <alignment horizontal="center" vertical="top"/>
    </xf>
    <xf numFmtId="166" fontId="6" fillId="10" borderId="15" xfId="0" applyFont="1" applyFill="1" applyAlignment="1">
      <alignment horizontal="center" vertical="top"/>
    </xf>
    <xf numFmtId="0" fontId="6" fillId="10" borderId="15" xfId="0" applyFont="1" applyFill="1" applyAlignment="1">
      <alignment horizontal="center" vertical="top"/>
    </xf>
    <xf numFmtId="0" fontId="6" fillId="10" borderId="15" xfId="0" applyFont="1" applyFill="1" applyAlignment="1">
      <alignment horizontal="center" vertical="top" wrapText="1"/>
    </xf>
    <xf numFmtId="2" fontId="6" fillId="10" borderId="15" xfId="0" applyFont="1" applyFill="1" applyAlignment="1">
      <alignment horizontal="center" vertical="top" wrapText="1"/>
    </xf>
    <xf numFmtId="165" fontId="6" fillId="10" borderId="15" xfId="0" applyFont="1" applyFill="1" applyAlignment="1">
      <alignment horizontal="center" vertical="top" wrapText="1"/>
    </xf>
    <xf numFmtId="49" fontId="6" fillId="10" borderId="15" xfId="0" applyFont="1" applyFill="1" applyAlignment="1">
      <alignment horizontal="center" vertical="top" wrapText="1"/>
    </xf>
    <xf numFmtId="1" fontId="6" fillId="13" borderId="13" xfId="0" applyFont="1" applyFill="1" applyAlignment="1">
      <alignment horizontal="left" vertical="top"/>
    </xf>
    <xf numFmtId="16" fontId="6" fillId="13" borderId="13" xfId="0" applyNumberFormat="1" applyFont="1" applyFill="1" applyAlignment="1">
      <alignment horizontal="center" vertical="top"/>
    </xf>
    <xf numFmtId="49" fontId="6" fillId="13" borderId="13" xfId="0" applyFont="1" applyFill="1" applyAlignment="1">
      <alignment horizontal="center" vertical="top"/>
    </xf>
    <xf numFmtId="0" fontId="6" fillId="13" borderId="13" xfId="0" applyFont="1" applyFill="1" applyAlignment="1">
      <alignment horizontal="center" vertical="top"/>
    </xf>
    <xf numFmtId="0" fontId="6" fillId="14" borderId="13" xfId="0" applyFont="1" applyFill="1" applyAlignment="1">
      <alignment vertical="top" wrapText="1"/>
    </xf>
    <xf numFmtId="0" fontId="6" fillId="14" borderId="13" xfId="0" applyFont="1" applyFill="1" applyAlignment="1">
      <alignment horizontal="center" vertical="top"/>
    </xf>
    <xf numFmtId="16" fontId="6" fillId="14" borderId="13" xfId="0" applyNumberFormat="1" applyFont="1" applyFill="1" applyAlignment="1">
      <alignment horizontal="center" vertical="top" wrapText="1"/>
    </xf>
    <xf numFmtId="49" fontId="6" fillId="14" borderId="13" xfId="0" applyFont="1" applyFill="1" applyAlignment="1">
      <alignment horizontal="center" vertical="top" wrapText="1"/>
    </xf>
    <xf numFmtId="166" fontId="6" fillId="14" borderId="13" xfId="0" applyFont="1" applyFill="1" applyAlignment="1">
      <alignment horizontal="center" vertical="top" wrapText="1"/>
    </xf>
    <xf numFmtId="166" fontId="6" fillId="14" borderId="13" xfId="0" applyFont="1" applyFill="1" applyAlignment="1">
      <alignment horizontal="center" vertical="top"/>
    </xf>
    <xf numFmtId="0" fontId="6" fillId="14" borderId="13" xfId="0" applyFont="1" applyFill="1" applyAlignment="1">
      <alignment horizontal="center" vertical="top" wrapText="1"/>
    </xf>
    <xf numFmtId="2" fontId="6" fillId="14" borderId="13" xfId="0" applyFont="1" applyFill="1" applyAlignment="1">
      <alignment horizontal="center" vertical="top" wrapText="1"/>
    </xf>
    <xf numFmtId="165" fontId="6" fillId="14" borderId="13" xfId="0" applyFont="1" applyFill="1" applyAlignment="1">
      <alignment horizontal="center" vertical="top" wrapText="1"/>
    </xf>
    <xf numFmtId="1" fontId="6" fillId="14" borderId="13" xfId="0" applyFont="1" applyFill="1" applyAlignment="1">
      <alignment vertical="top" wrapText="1"/>
    </xf>
    <xf numFmtId="167" fontId="6" fillId="14" borderId="13" xfId="0" applyFont="1" applyFill="1" applyAlignment="1">
      <alignment horizontal="center" vertical="top" wrapText="1"/>
    </xf>
    <xf numFmtId="0" fontId="4" fillId="5" borderId="1" xfId="0" applyFont="1" applyFill="1" applyBorder="1" applyAlignment="1">
      <alignment vertical="top" wrapText="1"/>
    </xf>
    <xf numFmtId="16" fontId="4" fillId="5" borderId="1" xfId="0" applyNumberFormat="1" applyFont="1" applyFill="1" applyBorder="1" applyAlignment="1">
      <alignment horizontal="center" vertical="top" wrapText="1"/>
    </xf>
    <xf numFmtId="49" fontId="4" fillId="5" borderId="1" xfId="0" applyNumberFormat="1" applyFont="1" applyFill="1" applyBorder="1" applyAlignment="1">
      <alignment horizontal="center" vertical="top" wrapText="1"/>
    </xf>
    <xf numFmtId="20" fontId="4" fillId="5" borderId="1" xfId="0" applyNumberFormat="1" applyFont="1" applyFill="1" applyBorder="1" applyAlignment="1">
      <alignment horizontal="center" vertical="top" wrapText="1"/>
    </xf>
    <xf numFmtId="20" fontId="4" fillId="5" borderId="1" xfId="0" applyNumberFormat="1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0" applyNumberFormat="1" applyFont="1" applyFill="1" applyBorder="1" applyAlignment="1">
      <alignment horizontal="center" vertical="top" wrapText="1"/>
    </xf>
    <xf numFmtId="2" fontId="4" fillId="5" borderId="1" xfId="0" applyNumberFormat="1" applyFont="1" applyFill="1" applyBorder="1" applyAlignment="1">
      <alignment horizontal="center" vertical="top" wrapText="1"/>
    </xf>
    <xf numFmtId="165" fontId="4" fillId="5" borderId="1" xfId="0" applyNumberFormat="1" applyFont="1" applyFill="1" applyBorder="1" applyAlignment="1">
      <alignment horizontal="center" vertical="top" wrapText="1"/>
    </xf>
    <xf numFmtId="49" fontId="4" fillId="5" borderId="2" xfId="0" applyNumberFormat="1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vertical="top" wrapText="1"/>
    </xf>
    <xf numFmtId="1" fontId="4" fillId="15" borderId="1" xfId="0" applyNumberFormat="1" applyFont="1" applyFill="1" applyBorder="1" applyAlignment="1">
      <alignment vertical="top" wrapText="1"/>
    </xf>
    <xf numFmtId="0" fontId="4" fillId="15" borderId="1" xfId="0" applyFont="1" applyFill="1" applyBorder="1" applyAlignment="1">
      <alignment vertical="top" wrapText="1"/>
    </xf>
    <xf numFmtId="0" fontId="4" fillId="15" borderId="3" xfId="0" applyFont="1" applyFill="1" applyBorder="1" applyAlignment="1">
      <alignment vertical="top" wrapText="1"/>
    </xf>
    <xf numFmtId="16" fontId="4" fillId="15" borderId="3" xfId="0" applyNumberFormat="1" applyFont="1" applyFill="1" applyBorder="1" applyAlignment="1">
      <alignment horizontal="center" vertical="top" wrapText="1"/>
    </xf>
    <xf numFmtId="49" fontId="4" fillId="15" borderId="3" xfId="0" applyNumberFormat="1" applyFont="1" applyFill="1" applyBorder="1" applyAlignment="1">
      <alignment horizontal="center" vertical="top" wrapText="1"/>
    </xf>
    <xf numFmtId="20" fontId="4" fillId="15" borderId="1" xfId="0" applyNumberFormat="1" applyFont="1" applyFill="1" applyBorder="1" applyAlignment="1">
      <alignment horizontal="center" vertical="top" wrapText="1"/>
    </xf>
    <xf numFmtId="20" fontId="4" fillId="15" borderId="1" xfId="0" applyNumberFormat="1" applyFont="1" applyFill="1" applyBorder="1" applyAlignment="1">
      <alignment horizontal="center" vertical="top"/>
    </xf>
    <xf numFmtId="0" fontId="4" fillId="15" borderId="1" xfId="0" applyFont="1" applyFill="1" applyBorder="1" applyAlignment="1">
      <alignment horizontal="center" vertical="top" wrapText="1"/>
    </xf>
    <xf numFmtId="0" fontId="4" fillId="15" borderId="1" xfId="0" applyNumberFormat="1" applyFont="1" applyFill="1" applyBorder="1" applyAlignment="1">
      <alignment horizontal="center" vertical="top" wrapText="1"/>
    </xf>
    <xf numFmtId="2" fontId="4" fillId="15" borderId="1" xfId="0" applyNumberFormat="1" applyFont="1" applyFill="1" applyBorder="1" applyAlignment="1">
      <alignment horizontal="center" vertical="top" wrapText="1"/>
    </xf>
    <xf numFmtId="165" fontId="4" fillId="15" borderId="1" xfId="0" applyNumberFormat="1" applyFont="1" applyFill="1" applyBorder="1" applyAlignment="1">
      <alignment horizontal="center" vertical="top" wrapText="1"/>
    </xf>
    <xf numFmtId="49" fontId="4" fillId="15" borderId="1" xfId="0" applyNumberFormat="1" applyFont="1" applyFill="1" applyBorder="1" applyAlignment="1">
      <alignment horizontal="center" vertical="top" wrapText="1"/>
    </xf>
    <xf numFmtId="49" fontId="4" fillId="15" borderId="2" xfId="0" applyNumberFormat="1" applyFont="1" applyFill="1" applyBorder="1" applyAlignment="1">
      <alignment horizontal="center" vertical="top" wrapText="1"/>
    </xf>
    <xf numFmtId="0" fontId="4" fillId="15" borderId="2" xfId="0" applyFont="1" applyFill="1" applyBorder="1" applyAlignment="1">
      <alignment vertical="top" wrapText="1"/>
    </xf>
    <xf numFmtId="0" fontId="4" fillId="5" borderId="3" xfId="0" applyFont="1" applyFill="1" applyBorder="1" applyAlignment="1">
      <alignment vertical="top" wrapText="1"/>
    </xf>
    <xf numFmtId="16" fontId="4" fillId="15" borderId="1" xfId="0" applyNumberFormat="1" applyFont="1" applyFill="1" applyBorder="1" applyAlignment="1">
      <alignment horizontal="center" vertical="top" wrapText="1"/>
    </xf>
    <xf numFmtId="1" fontId="4" fillId="5" borderId="3" xfId="0" applyNumberFormat="1" applyFont="1" applyFill="1" applyBorder="1" applyAlignment="1">
      <alignment vertical="top" wrapText="1"/>
    </xf>
    <xf numFmtId="16" fontId="4" fillId="5" borderId="3" xfId="0" applyNumberFormat="1" applyFont="1" applyFill="1" applyBorder="1" applyAlignment="1">
      <alignment horizontal="center" vertical="top" wrapText="1"/>
    </xf>
    <xf numFmtId="49" fontId="4" fillId="5" borderId="3" xfId="0" applyNumberFormat="1" applyFont="1" applyFill="1" applyBorder="1" applyAlignment="1">
      <alignment horizontal="center" vertical="top" wrapText="1"/>
    </xf>
    <xf numFmtId="20" fontId="4" fillId="5" borderId="3" xfId="0" applyNumberFormat="1" applyFont="1" applyFill="1" applyBorder="1" applyAlignment="1">
      <alignment horizontal="center" vertical="top" wrapText="1"/>
    </xf>
    <xf numFmtId="20" fontId="4" fillId="5" borderId="3" xfId="0" applyNumberFormat="1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top" wrapText="1"/>
    </xf>
    <xf numFmtId="0" fontId="4" fillId="5" borderId="3" xfId="0" applyNumberFormat="1" applyFont="1" applyFill="1" applyBorder="1" applyAlignment="1">
      <alignment horizontal="center" vertical="top" wrapText="1"/>
    </xf>
    <xf numFmtId="2" fontId="4" fillId="5" borderId="3" xfId="0" applyNumberFormat="1" applyFont="1" applyFill="1" applyBorder="1" applyAlignment="1">
      <alignment horizontal="center" vertical="top" wrapText="1"/>
    </xf>
    <xf numFmtId="165" fontId="4" fillId="5" borderId="3" xfId="0" applyNumberFormat="1" applyFont="1" applyFill="1" applyBorder="1" applyAlignment="1">
      <alignment horizontal="center" vertical="top" wrapText="1"/>
    </xf>
    <xf numFmtId="49" fontId="4" fillId="5" borderId="4" xfId="0" applyNumberFormat="1" applyFont="1" applyFill="1" applyBorder="1" applyAlignment="1">
      <alignment horizontal="center" vertical="top" wrapText="1"/>
    </xf>
    <xf numFmtId="0" fontId="4" fillId="5" borderId="4" xfId="0" applyFont="1" applyFill="1" applyBorder="1" applyAlignment="1">
      <alignment vertical="top" wrapText="1"/>
    </xf>
    <xf numFmtId="0" fontId="4" fillId="5" borderId="5" xfId="0" applyFont="1" applyFill="1" applyBorder="1" applyAlignment="1">
      <alignment vertical="top" wrapText="1"/>
    </xf>
    <xf numFmtId="1" fontId="4" fillId="5" borderId="5" xfId="0" applyNumberFormat="1" applyFont="1" applyFill="1" applyBorder="1" applyAlignment="1">
      <alignment vertical="top" wrapText="1"/>
    </xf>
    <xf numFmtId="16" fontId="4" fillId="5" borderId="5" xfId="0" applyNumberFormat="1" applyFont="1" applyFill="1" applyBorder="1" applyAlignment="1">
      <alignment horizontal="center" vertical="top" wrapText="1"/>
    </xf>
    <xf numFmtId="49" fontId="4" fillId="5" borderId="5" xfId="0" applyNumberFormat="1" applyFont="1" applyFill="1" applyBorder="1" applyAlignment="1">
      <alignment horizontal="center" vertical="top" wrapText="1"/>
    </xf>
    <xf numFmtId="20" fontId="4" fillId="5" borderId="5" xfId="0" applyNumberFormat="1" applyFont="1" applyFill="1" applyBorder="1" applyAlignment="1">
      <alignment horizontal="center" vertical="top" wrapText="1"/>
    </xf>
    <xf numFmtId="20" fontId="4" fillId="5" borderId="5" xfId="0" applyNumberFormat="1" applyFont="1" applyFill="1" applyBorder="1" applyAlignment="1">
      <alignment horizontal="center" vertical="top"/>
    </xf>
    <xf numFmtId="0" fontId="4" fillId="5" borderId="5" xfId="0" applyFont="1" applyFill="1" applyBorder="1" applyAlignment="1">
      <alignment horizontal="center" vertical="top" wrapText="1"/>
    </xf>
    <xf numFmtId="0" fontId="4" fillId="5" borderId="5" xfId="0" applyNumberFormat="1" applyFont="1" applyFill="1" applyBorder="1" applyAlignment="1">
      <alignment horizontal="center" vertical="top" wrapText="1"/>
    </xf>
    <xf numFmtId="2" fontId="4" fillId="5" borderId="5" xfId="0" applyNumberFormat="1" applyFont="1" applyFill="1" applyBorder="1" applyAlignment="1">
      <alignment horizontal="center" vertical="top" wrapText="1"/>
    </xf>
    <xf numFmtId="165" fontId="4" fillId="5" borderId="5" xfId="0" applyNumberFormat="1" applyFont="1" applyFill="1" applyBorder="1" applyAlignment="1">
      <alignment horizontal="center" vertical="top" wrapText="1"/>
    </xf>
    <xf numFmtId="0" fontId="4" fillId="5" borderId="6" xfId="0" applyFont="1" applyFill="1" applyBorder="1" applyAlignment="1">
      <alignment vertical="top" wrapText="1"/>
    </xf>
    <xf numFmtId="0" fontId="4" fillId="15" borderId="2" xfId="0" applyNumberFormat="1" applyFont="1" applyFill="1" applyBorder="1" applyAlignment="1">
      <alignment vertical="top" wrapText="1"/>
    </xf>
    <xf numFmtId="0" fontId="6" fillId="16" borderId="13" xfId="0" applyFont="1" applyFill="1" applyAlignment="1">
      <alignment horizontal="left" vertical="top"/>
    </xf>
    <xf numFmtId="0" fontId="6" fillId="16" borderId="13" xfId="0" applyFont="1" applyFill="1" applyAlignment="1">
      <alignment horizontal="center" vertical="top" wrapText="1"/>
    </xf>
    <xf numFmtId="0" fontId="6" fillId="16" borderId="13" xfId="0" applyFont="1" applyFill="1" applyAlignment="1">
      <alignment vertical="top" wrapText="1"/>
    </xf>
    <xf numFmtId="16" fontId="6" fillId="16" borderId="13" xfId="0" applyNumberFormat="1" applyFont="1" applyFill="1" applyAlignment="1">
      <alignment horizontal="center" vertical="top" wrapText="1"/>
    </xf>
    <xf numFmtId="49" fontId="6" fillId="16" borderId="13" xfId="0" applyFont="1" applyFill="1" applyAlignment="1">
      <alignment horizontal="center" vertical="top" wrapText="1"/>
    </xf>
    <xf numFmtId="166" fontId="6" fillId="16" borderId="13" xfId="0" applyFont="1" applyFill="1" applyAlignment="1">
      <alignment horizontal="center" vertical="top" wrapText="1"/>
    </xf>
    <xf numFmtId="166" fontId="6" fillId="16" borderId="13" xfId="0" applyFont="1" applyFill="1" applyAlignment="1">
      <alignment horizontal="center" vertical="top"/>
    </xf>
    <xf numFmtId="0" fontId="6" fillId="16" borderId="13" xfId="0" applyFont="1" applyFill="1" applyAlignment="1">
      <alignment horizontal="center" vertical="top"/>
    </xf>
    <xf numFmtId="2" fontId="6" fillId="16" borderId="13" xfId="0" applyFont="1" applyFill="1" applyAlignment="1">
      <alignment horizontal="center" vertical="top" wrapText="1"/>
    </xf>
    <xf numFmtId="165" fontId="6" fillId="16" borderId="13" xfId="0" applyFont="1" applyFill="1" applyAlignment="1">
      <alignment horizontal="center" vertical="top" wrapText="1"/>
    </xf>
    <xf numFmtId="1" fontId="6" fillId="16" borderId="13" xfId="0" applyFont="1" applyFill="1" applyAlignment="1">
      <alignment horizontal="left" vertical="top"/>
    </xf>
    <xf numFmtId="1" fontId="4" fillId="15" borderId="3" xfId="0" applyNumberFormat="1" applyFont="1" applyFill="1" applyBorder="1" applyAlignment="1">
      <alignment vertical="top" wrapText="1"/>
    </xf>
    <xf numFmtId="0" fontId="4" fillId="15" borderId="3" xfId="0" applyFont="1" applyFill="1" applyBorder="1" applyAlignment="1">
      <alignment horizontal="center" vertical="top" wrapText="1"/>
    </xf>
    <xf numFmtId="20" fontId="4" fillId="15" borderId="3" xfId="0" applyNumberFormat="1" applyFont="1" applyFill="1" applyBorder="1" applyAlignment="1">
      <alignment horizontal="center" vertical="top" wrapText="1"/>
    </xf>
    <xf numFmtId="20" fontId="4" fillId="15" borderId="3" xfId="0" applyNumberFormat="1" applyFont="1" applyFill="1" applyBorder="1" applyAlignment="1">
      <alignment horizontal="center" vertical="top"/>
    </xf>
    <xf numFmtId="0" fontId="4" fillId="15" borderId="3" xfId="0" applyNumberFormat="1" applyFont="1" applyFill="1" applyBorder="1" applyAlignment="1">
      <alignment horizontal="center" vertical="top" wrapText="1"/>
    </xf>
    <xf numFmtId="2" fontId="4" fillId="15" borderId="3" xfId="0" applyNumberFormat="1" applyFont="1" applyFill="1" applyBorder="1" applyAlignment="1">
      <alignment horizontal="center" vertical="top" wrapText="1"/>
    </xf>
    <xf numFmtId="165" fontId="4" fillId="15" borderId="3" xfId="0" applyNumberFormat="1" applyFont="1" applyFill="1" applyBorder="1" applyAlignment="1">
      <alignment horizontal="center" vertical="top" wrapText="1"/>
    </xf>
    <xf numFmtId="0" fontId="4" fillId="15" borderId="4" xfId="0" applyNumberFormat="1" applyFont="1" applyFill="1" applyBorder="1" applyAlignment="1">
      <alignment horizontal="center" vertical="top" wrapText="1"/>
    </xf>
    <xf numFmtId="0" fontId="4" fillId="15" borderId="4" xfId="0" applyFont="1" applyFill="1" applyBorder="1" applyAlignment="1">
      <alignment vertical="top" wrapText="1"/>
    </xf>
    <xf numFmtId="0" fontId="6" fillId="13" borderId="13" xfId="0" applyFont="1" applyFill="1" applyAlignment="1">
      <alignment horizontal="right" vertical="top"/>
    </xf>
    <xf numFmtId="0" fontId="6" fillId="17" borderId="13" xfId="0" applyFont="1" applyFill="1" applyAlignment="1">
      <alignment horizontal="center" vertical="top" wrapText="1"/>
    </xf>
    <xf numFmtId="0" fontId="6" fillId="17" borderId="13" xfId="0" applyFont="1" applyFill="1" applyAlignment="1">
      <alignment vertical="top" wrapText="1"/>
    </xf>
    <xf numFmtId="16" fontId="6" fillId="17" borderId="13" xfId="0" applyNumberFormat="1" applyFont="1" applyFill="1" applyAlignment="1">
      <alignment horizontal="center" vertical="top"/>
    </xf>
    <xf numFmtId="49" fontId="6" fillId="17" borderId="13" xfId="0" applyFont="1" applyFill="1" applyAlignment="1">
      <alignment horizontal="center" vertical="top"/>
    </xf>
    <xf numFmtId="166" fontId="6" fillId="17" borderId="13" xfId="0" applyFont="1" applyFill="1" applyAlignment="1">
      <alignment horizontal="center" vertical="top"/>
    </xf>
    <xf numFmtId="0" fontId="6" fillId="17" borderId="13" xfId="0" applyFont="1" applyFill="1" applyAlignment="1">
      <alignment horizontal="center" vertical="top"/>
    </xf>
    <xf numFmtId="2" fontId="6" fillId="17" borderId="13" xfId="0" applyFont="1" applyFill="1" applyAlignment="1">
      <alignment horizontal="center" vertical="top" wrapText="1"/>
    </xf>
    <xf numFmtId="165" fontId="6" fillId="17" borderId="13" xfId="0" applyFont="1" applyFill="1" applyAlignment="1">
      <alignment horizontal="center" vertical="top" wrapText="1"/>
    </xf>
    <xf numFmtId="49" fontId="6" fillId="17" borderId="13" xfId="0" applyFont="1" applyFill="1" applyAlignment="1">
      <alignment horizontal="center" vertical="top" wrapText="1"/>
    </xf>
    <xf numFmtId="0" fontId="6" fillId="17" borderId="15" xfId="0" applyFont="1" applyFill="1" applyAlignment="1">
      <alignment vertical="top" wrapText="1"/>
    </xf>
    <xf numFmtId="0" fontId="6" fillId="17" borderId="13" xfId="0" applyFont="1" applyFill="1" applyAlignment="1">
      <alignment horizontal="left" vertical="top" wrapText="1"/>
    </xf>
    <xf numFmtId="49" fontId="4" fillId="7" borderId="5" xfId="0" applyNumberFormat="1" applyFont="1" applyFill="1" applyBorder="1" applyAlignment="1">
      <alignment horizontal="center" vertical="top" wrapText="1"/>
    </xf>
    <xf numFmtId="49" fontId="4" fillId="15" borderId="7" xfId="0" applyNumberFormat="1" applyFont="1" applyFill="1" applyBorder="1" applyAlignment="1">
      <alignment horizontal="center" vertical="top" wrapText="1"/>
    </xf>
    <xf numFmtId="0" fontId="4" fillId="7" borderId="5" xfId="0" applyFont="1" applyFill="1" applyBorder="1" applyAlignment="1">
      <alignment horizontal="right" vertical="top" wrapText="1"/>
    </xf>
    <xf numFmtId="1" fontId="4" fillId="7" borderId="5" xfId="0" applyNumberFormat="1" applyFont="1" applyFill="1" applyBorder="1" applyAlignment="1">
      <alignment vertical="top" wrapText="1"/>
    </xf>
    <xf numFmtId="0" fontId="4" fillId="7" borderId="5" xfId="0" applyFont="1" applyFill="1" applyBorder="1" applyAlignment="1">
      <alignment vertical="top" wrapText="1"/>
    </xf>
    <xf numFmtId="16" fontId="4" fillId="7" borderId="5" xfId="0" applyNumberFormat="1" applyFont="1" applyFill="1" applyBorder="1" applyAlignment="1">
      <alignment horizontal="center" vertical="top" wrapText="1"/>
    </xf>
    <xf numFmtId="20" fontId="4" fillId="7" borderId="5" xfId="0" applyNumberFormat="1" applyFont="1" applyFill="1" applyBorder="1" applyAlignment="1">
      <alignment horizontal="center" vertical="top" wrapText="1"/>
    </xf>
    <xf numFmtId="20" fontId="4" fillId="7" borderId="5" xfId="0" applyNumberFormat="1" applyFont="1" applyFill="1" applyBorder="1" applyAlignment="1">
      <alignment horizontal="center" vertical="top"/>
    </xf>
    <xf numFmtId="0" fontId="4" fillId="7" borderId="5" xfId="0" applyFont="1" applyFill="1" applyBorder="1" applyAlignment="1">
      <alignment horizontal="center" vertical="top" wrapText="1"/>
    </xf>
    <xf numFmtId="0" fontId="4" fillId="7" borderId="5" xfId="0" applyNumberFormat="1" applyFont="1" applyFill="1" applyBorder="1" applyAlignment="1">
      <alignment horizontal="center" vertical="top" wrapText="1"/>
    </xf>
    <xf numFmtId="1" fontId="4" fillId="7" borderId="5" xfId="0" applyNumberFormat="1" applyFont="1" applyFill="1" applyBorder="1" applyAlignment="1">
      <alignment horizontal="center" vertical="top" wrapText="1"/>
    </xf>
    <xf numFmtId="2" fontId="4" fillId="7" borderId="5" xfId="0" applyNumberFormat="1" applyFont="1" applyFill="1" applyBorder="1" applyAlignment="1">
      <alignment horizontal="center" vertical="top" wrapText="1"/>
    </xf>
    <xf numFmtId="49" fontId="4" fillId="7" borderId="6" xfId="0" applyNumberFormat="1" applyFont="1" applyFill="1" applyBorder="1" applyAlignment="1">
      <alignment horizontal="center" vertical="top" wrapText="1"/>
    </xf>
    <xf numFmtId="0" fontId="4" fillId="7" borderId="6" xfId="0" applyFont="1" applyFill="1" applyBorder="1" applyAlignment="1">
      <alignment vertical="top" wrapText="1"/>
    </xf>
    <xf numFmtId="0" fontId="4" fillId="7" borderId="19" xfId="0" applyFont="1" applyFill="1" applyBorder="1" applyAlignment="1">
      <alignment horizontal="right" vertical="top" wrapText="1"/>
    </xf>
    <xf numFmtId="1" fontId="4" fillId="7" borderId="20" xfId="0" applyNumberFormat="1" applyFont="1" applyFill="1" applyBorder="1" applyAlignment="1">
      <alignment vertical="top" wrapText="1"/>
    </xf>
    <xf numFmtId="0" fontId="4" fillId="7" borderId="20" xfId="0" applyFont="1" applyFill="1" applyBorder="1" applyAlignment="1">
      <alignment vertical="top" wrapText="1"/>
    </xf>
    <xf numFmtId="16" fontId="4" fillId="7" borderId="20" xfId="0" applyNumberFormat="1" applyFont="1" applyFill="1" applyBorder="1" applyAlignment="1">
      <alignment horizontal="center" vertical="top" wrapText="1"/>
    </xf>
    <xf numFmtId="49" fontId="4" fillId="7" borderId="20" xfId="0" applyNumberFormat="1" applyFont="1" applyFill="1" applyBorder="1" applyAlignment="1">
      <alignment horizontal="center" vertical="top" wrapText="1"/>
    </xf>
    <xf numFmtId="20" fontId="4" fillId="7" borderId="20" xfId="0" applyNumberFormat="1" applyFont="1" applyFill="1" applyBorder="1" applyAlignment="1">
      <alignment horizontal="center" vertical="top" wrapText="1"/>
    </xf>
    <xf numFmtId="20" fontId="4" fillId="7" borderId="20" xfId="0" applyNumberFormat="1" applyFont="1" applyFill="1" applyBorder="1" applyAlignment="1">
      <alignment horizontal="center" vertical="top"/>
    </xf>
    <xf numFmtId="0" fontId="4" fillId="7" borderId="20" xfId="0" applyFont="1" applyFill="1" applyBorder="1" applyAlignment="1">
      <alignment horizontal="center" vertical="top" wrapText="1"/>
    </xf>
    <xf numFmtId="0" fontId="4" fillId="7" borderId="20" xfId="0" applyNumberFormat="1" applyFont="1" applyFill="1" applyBorder="1" applyAlignment="1">
      <alignment horizontal="center" vertical="top" wrapText="1"/>
    </xf>
    <xf numFmtId="1" fontId="4" fillId="7" borderId="20" xfId="0" applyNumberFormat="1" applyFont="1" applyFill="1" applyBorder="1" applyAlignment="1">
      <alignment horizontal="center" vertical="top" wrapText="1"/>
    </xf>
    <xf numFmtId="2" fontId="4" fillId="7" borderId="20" xfId="0" applyNumberFormat="1" applyFont="1" applyFill="1" applyBorder="1" applyAlignment="1">
      <alignment horizontal="center" vertical="top" wrapText="1"/>
    </xf>
    <xf numFmtId="49" fontId="4" fillId="7" borderId="21" xfId="0" applyNumberFormat="1" applyFont="1" applyFill="1" applyBorder="1" applyAlignment="1">
      <alignment horizontal="center" vertical="top" wrapText="1"/>
    </xf>
    <xf numFmtId="49" fontId="4" fillId="7" borderId="22" xfId="0" applyNumberFormat="1" applyFont="1" applyFill="1" applyBorder="1" applyAlignment="1">
      <alignment horizontal="center" vertical="top" wrapText="1"/>
    </xf>
    <xf numFmtId="0" fontId="4" fillId="7" borderId="22" xfId="0" applyFont="1" applyFill="1" applyBorder="1" applyAlignment="1">
      <alignment vertical="top" wrapText="1"/>
    </xf>
    <xf numFmtId="0" fontId="4" fillId="7" borderId="23" xfId="0" applyFont="1" applyFill="1" applyBorder="1" applyAlignment="1">
      <alignment horizontal="right" vertical="top" wrapText="1"/>
    </xf>
    <xf numFmtId="1" fontId="4" fillId="7" borderId="8" xfId="0" applyNumberFormat="1" applyFont="1" applyFill="1" applyBorder="1" applyAlignment="1">
      <alignment vertical="top" wrapText="1"/>
    </xf>
    <xf numFmtId="20" fontId="4" fillId="7" borderId="8" xfId="0" applyNumberFormat="1" applyFont="1" applyFill="1" applyBorder="1" applyAlignment="1">
      <alignment horizontal="center" vertical="top" wrapText="1"/>
    </xf>
    <xf numFmtId="0" fontId="4" fillId="7" borderId="8" xfId="0" applyFont="1" applyFill="1" applyBorder="1" applyAlignment="1">
      <alignment horizontal="center" vertical="top" wrapText="1"/>
    </xf>
    <xf numFmtId="0" fontId="4" fillId="7" borderId="8" xfId="0" applyNumberFormat="1" applyFont="1" applyFill="1" applyBorder="1" applyAlignment="1">
      <alignment horizontal="center" vertical="top" wrapText="1"/>
    </xf>
    <xf numFmtId="1" fontId="4" fillId="7" borderId="8" xfId="0" applyNumberFormat="1" applyFont="1" applyFill="1" applyBorder="1" applyAlignment="1">
      <alignment horizontal="center" vertical="top" wrapText="1"/>
    </xf>
    <xf numFmtId="2" fontId="4" fillId="7" borderId="8" xfId="0" applyNumberFormat="1" applyFont="1" applyFill="1" applyBorder="1" applyAlignment="1">
      <alignment horizontal="center" vertical="top" wrapText="1"/>
    </xf>
    <xf numFmtId="49" fontId="4" fillId="7" borderId="9" xfId="0" applyNumberFormat="1" applyFont="1" applyFill="1" applyBorder="1" applyAlignment="1">
      <alignment horizontal="center" vertical="top" wrapText="1"/>
    </xf>
    <xf numFmtId="0" fontId="4" fillId="7" borderId="9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1" customWidth="1"/>
    <col min="2" max="2" width="5.28125" style="32" customWidth="1"/>
    <col min="3" max="3" width="8.28125" style="1" customWidth="1"/>
    <col min="4" max="4" width="6.8515625" style="3" customWidth="1"/>
    <col min="5" max="5" width="4.8515625" style="72" customWidth="1"/>
    <col min="6" max="7" width="5.00390625" style="3" customWidth="1"/>
    <col min="8" max="8" width="5.00390625" style="25" customWidth="1"/>
    <col min="9" max="9" width="4.7109375" style="3" customWidth="1"/>
    <col min="10" max="10" width="4.7109375" style="4" customWidth="1"/>
    <col min="11" max="11" width="5.421875" style="3" customWidth="1"/>
    <col min="12" max="12" width="5.8515625" style="3" customWidth="1"/>
    <col min="13" max="13" width="6.421875" style="3" customWidth="1"/>
    <col min="14" max="14" width="5.421875" style="3" customWidth="1"/>
    <col min="15" max="15" width="6.28125" style="41" customWidth="1"/>
    <col min="16" max="18" width="5.8515625" style="46" customWidth="1"/>
    <col min="19" max="19" width="5.28125" style="72" customWidth="1"/>
    <col min="20" max="20" width="7.8515625" style="122" customWidth="1"/>
    <col min="21" max="21" width="30.8515625" style="27" customWidth="1"/>
    <col min="22" max="22" width="8.140625" style="1" customWidth="1"/>
    <col min="23" max="16384" width="9.140625" style="2" customWidth="1"/>
  </cols>
  <sheetData>
    <row r="1" spans="1:22" ht="63.75">
      <c r="A1" s="6" t="s">
        <v>328</v>
      </c>
      <c r="B1" s="37" t="s">
        <v>271</v>
      </c>
      <c r="C1" s="6" t="s">
        <v>272</v>
      </c>
      <c r="D1" s="7" t="s">
        <v>273</v>
      </c>
      <c r="E1" s="73" t="s">
        <v>274</v>
      </c>
      <c r="F1" s="7" t="s">
        <v>275</v>
      </c>
      <c r="G1" s="7" t="s">
        <v>276</v>
      </c>
      <c r="H1" s="26" t="s">
        <v>329</v>
      </c>
      <c r="I1" s="7" t="s">
        <v>325</v>
      </c>
      <c r="J1" s="8" t="s">
        <v>408</v>
      </c>
      <c r="K1" s="7" t="s">
        <v>200</v>
      </c>
      <c r="L1" s="7" t="s">
        <v>289</v>
      </c>
      <c r="M1" s="7" t="s">
        <v>409</v>
      </c>
      <c r="N1" s="7" t="s">
        <v>410</v>
      </c>
      <c r="O1" s="42" t="s">
        <v>411</v>
      </c>
      <c r="P1" s="47" t="s">
        <v>199</v>
      </c>
      <c r="Q1" s="47" t="s">
        <v>353</v>
      </c>
      <c r="R1" s="47" t="s">
        <v>293</v>
      </c>
      <c r="S1" s="73" t="s">
        <v>354</v>
      </c>
      <c r="T1" s="123" t="s">
        <v>179</v>
      </c>
      <c r="U1" s="28" t="s">
        <v>355</v>
      </c>
      <c r="V1" s="6" t="s">
        <v>356</v>
      </c>
    </row>
    <row r="2" spans="1:22" ht="25.5">
      <c r="A2" s="286" t="s">
        <v>186</v>
      </c>
      <c r="B2" s="35"/>
      <c r="C2" s="286" t="s">
        <v>364</v>
      </c>
      <c r="D2" s="287">
        <v>36509</v>
      </c>
      <c r="E2" s="288" t="s">
        <v>42</v>
      </c>
      <c r="F2" s="289">
        <v>0.5416666666666666</v>
      </c>
      <c r="G2" s="289"/>
      <c r="H2" s="290"/>
      <c r="I2" s="291"/>
      <c r="J2" s="292"/>
      <c r="K2" s="291"/>
      <c r="L2" s="291"/>
      <c r="M2" s="291"/>
      <c r="N2" s="291"/>
      <c r="O2" s="293">
        <f aca="true" t="shared" si="0" ref="O2:O16">K2*2864/2.5/1000000</f>
        <v>0</v>
      </c>
      <c r="P2" s="294">
        <f aca="true" t="shared" si="1" ref="P2:P16">O2*126.31/3600</f>
        <v>0</v>
      </c>
      <c r="Q2" s="294">
        <f aca="true" t="shared" si="2" ref="Q2:Q16">P2*62.9/3600</f>
        <v>0</v>
      </c>
      <c r="R2" s="294">
        <f aca="true" t="shared" si="3" ref="R2:R16">Q2*42.139/3600</f>
        <v>0</v>
      </c>
      <c r="S2" s="288"/>
      <c r="T2" s="295"/>
      <c r="U2" s="296"/>
      <c r="V2" s="286" t="s">
        <v>43</v>
      </c>
    </row>
    <row r="3" spans="1:22" ht="12.75">
      <c r="A3" s="286"/>
      <c r="B3" s="35"/>
      <c r="C3" s="286" t="s">
        <v>364</v>
      </c>
      <c r="D3" s="287">
        <v>36509</v>
      </c>
      <c r="E3" s="288" t="s">
        <v>42</v>
      </c>
      <c r="F3" s="289">
        <v>0.5479166666666667</v>
      </c>
      <c r="G3" s="289">
        <v>0.009722222222222222</v>
      </c>
      <c r="H3" s="290">
        <f aca="true" t="shared" si="4" ref="H3:H15">SUM(F3:G3)</f>
        <v>0.5576388888888889</v>
      </c>
      <c r="I3" s="291"/>
      <c r="J3" s="292"/>
      <c r="K3" s="291">
        <f>3*5+3+1</f>
        <v>19</v>
      </c>
      <c r="L3" s="291"/>
      <c r="M3" s="291"/>
      <c r="N3" s="291"/>
      <c r="O3" s="293">
        <f t="shared" si="0"/>
        <v>0.0217664</v>
      </c>
      <c r="P3" s="294">
        <f t="shared" si="1"/>
        <v>0.000763698328888889</v>
      </c>
      <c r="Q3" s="294">
        <f t="shared" si="2"/>
        <v>1.3343506913086423E-05</v>
      </c>
      <c r="R3" s="294">
        <f t="shared" si="3"/>
        <v>1.5618945494737467E-07</v>
      </c>
      <c r="S3" s="288" t="s">
        <v>44</v>
      </c>
      <c r="T3" s="295" t="s">
        <v>183</v>
      </c>
      <c r="U3" s="296" t="s">
        <v>176</v>
      </c>
      <c r="V3" s="286" t="s">
        <v>43</v>
      </c>
    </row>
    <row r="4" spans="1:22" ht="12.75">
      <c r="A4" s="286"/>
      <c r="B4" s="35"/>
      <c r="C4" s="286" t="s">
        <v>364</v>
      </c>
      <c r="D4" s="287">
        <v>36509</v>
      </c>
      <c r="E4" s="288" t="s">
        <v>42</v>
      </c>
      <c r="F4" s="289">
        <v>0.5590277777777778</v>
      </c>
      <c r="G4" s="289">
        <v>0.3125</v>
      </c>
      <c r="H4" s="290">
        <f t="shared" si="4"/>
        <v>0.8715277777777778</v>
      </c>
      <c r="I4" s="291"/>
      <c r="J4" s="292"/>
      <c r="K4" s="291">
        <f>(71*7+71)*3+3</f>
        <v>1707</v>
      </c>
      <c r="L4" s="291"/>
      <c r="M4" s="291"/>
      <c r="N4" s="291"/>
      <c r="O4" s="293">
        <f t="shared" si="0"/>
        <v>1.9555392</v>
      </c>
      <c r="P4" s="294">
        <f t="shared" si="1"/>
        <v>0.06861226565333334</v>
      </c>
      <c r="Q4" s="294">
        <f t="shared" si="2"/>
        <v>0.0011988087526651854</v>
      </c>
      <c r="R4" s="294">
        <f t="shared" si="3"/>
        <v>1.4032389452377291E-05</v>
      </c>
      <c r="S4" s="288" t="s">
        <v>44</v>
      </c>
      <c r="T4" s="295" t="s">
        <v>183</v>
      </c>
      <c r="U4" s="296" t="s">
        <v>312</v>
      </c>
      <c r="V4" s="286" t="s">
        <v>43</v>
      </c>
    </row>
    <row r="5" spans="1:22" ht="12.75">
      <c r="A5" s="286"/>
      <c r="B5" s="35"/>
      <c r="C5" s="286" t="s">
        <v>364</v>
      </c>
      <c r="D5" s="287">
        <v>36509</v>
      </c>
      <c r="E5" s="288" t="s">
        <v>42</v>
      </c>
      <c r="F5" s="289">
        <v>0.8743055555555556</v>
      </c>
      <c r="G5" s="289">
        <v>0.010416666666666666</v>
      </c>
      <c r="H5" s="290">
        <f t="shared" si="4"/>
        <v>0.8847222222222222</v>
      </c>
      <c r="I5" s="291"/>
      <c r="J5" s="292"/>
      <c r="K5" s="291">
        <f>5*6+5+1</f>
        <v>36</v>
      </c>
      <c r="L5" s="291"/>
      <c r="M5" s="291"/>
      <c r="N5" s="291"/>
      <c r="O5" s="293">
        <f t="shared" si="0"/>
        <v>0.041241599999999996</v>
      </c>
      <c r="P5" s="294">
        <f t="shared" si="1"/>
        <v>0.0014470073599999998</v>
      </c>
      <c r="Q5" s="294">
        <f t="shared" si="2"/>
        <v>2.5282434151111108E-05</v>
      </c>
      <c r="R5" s="294">
        <f t="shared" si="3"/>
        <v>2.9593791463713087E-07</v>
      </c>
      <c r="S5" s="288" t="s">
        <v>44</v>
      </c>
      <c r="T5" s="295" t="s">
        <v>183</v>
      </c>
      <c r="U5" s="296" t="s">
        <v>313</v>
      </c>
      <c r="V5" s="286" t="s">
        <v>43</v>
      </c>
    </row>
    <row r="6" spans="1:22" ht="12.75">
      <c r="A6" s="286"/>
      <c r="B6" s="35"/>
      <c r="C6" s="286" t="s">
        <v>364</v>
      </c>
      <c r="D6" s="287">
        <v>36509</v>
      </c>
      <c r="E6" s="288" t="s">
        <v>42</v>
      </c>
      <c r="F6" s="289">
        <v>0.8888888888888888</v>
      </c>
      <c r="G6" s="289">
        <v>0.15972222222222224</v>
      </c>
      <c r="H6" s="290">
        <f t="shared" si="4"/>
        <v>1.0486111111111112</v>
      </c>
      <c r="I6" s="291"/>
      <c r="J6" s="292"/>
      <c r="K6" s="291">
        <f>(42*9+42)*2+2</f>
        <v>842</v>
      </c>
      <c r="L6" s="291"/>
      <c r="M6" s="291"/>
      <c r="N6" s="291"/>
      <c r="O6" s="293">
        <f t="shared" si="0"/>
        <v>0.9645952</v>
      </c>
      <c r="P6" s="294">
        <f t="shared" si="1"/>
        <v>0.033843894364444446</v>
      </c>
      <c r="Q6" s="294">
        <f t="shared" si="2"/>
        <v>0.0005913280432009877</v>
      </c>
      <c r="R6" s="294">
        <f t="shared" si="3"/>
        <v>6.92165900345734E-06</v>
      </c>
      <c r="S6" s="288" t="s">
        <v>44</v>
      </c>
      <c r="T6" s="295" t="s">
        <v>183</v>
      </c>
      <c r="U6" s="296" t="s">
        <v>314</v>
      </c>
      <c r="V6" s="286" t="s">
        <v>43</v>
      </c>
    </row>
    <row r="7" spans="1:22" ht="12.75">
      <c r="A7" s="286"/>
      <c r="B7" s="35"/>
      <c r="C7" s="286" t="s">
        <v>364</v>
      </c>
      <c r="D7" s="287">
        <v>36510</v>
      </c>
      <c r="E7" s="288" t="s">
        <v>45</v>
      </c>
      <c r="F7" s="289">
        <v>0.052083333333333336</v>
      </c>
      <c r="G7" s="289">
        <v>0.034722222222222224</v>
      </c>
      <c r="H7" s="290">
        <f t="shared" si="4"/>
        <v>0.08680555555555555</v>
      </c>
      <c r="I7" s="291"/>
      <c r="J7" s="292"/>
      <c r="K7" s="291">
        <f>(2*7*3)+3+80*7+14+160*7+14</f>
        <v>1753</v>
      </c>
      <c r="L7" s="291"/>
      <c r="M7" s="291"/>
      <c r="N7" s="291"/>
      <c r="O7" s="293">
        <f t="shared" si="0"/>
        <v>2.0082368</v>
      </c>
      <c r="P7" s="294">
        <f t="shared" si="1"/>
        <v>0.07046121950222223</v>
      </c>
      <c r="Q7" s="294">
        <f t="shared" si="2"/>
        <v>0.001231114085191605</v>
      </c>
      <c r="R7" s="294">
        <f t="shared" si="3"/>
        <v>1.4410532343302514E-05</v>
      </c>
      <c r="S7" s="288" t="s">
        <v>44</v>
      </c>
      <c r="T7" s="295" t="s">
        <v>183</v>
      </c>
      <c r="U7" s="296" t="s">
        <v>315</v>
      </c>
      <c r="V7" s="286" t="s">
        <v>43</v>
      </c>
    </row>
    <row r="8" spans="1:22" ht="12.75">
      <c r="A8" s="286"/>
      <c r="B8" s="35"/>
      <c r="C8" s="286" t="s">
        <v>364</v>
      </c>
      <c r="D8" s="287">
        <v>36510</v>
      </c>
      <c r="E8" s="288" t="s">
        <v>45</v>
      </c>
      <c r="F8" s="289">
        <v>0.09027777777777778</v>
      </c>
      <c r="G8" s="289">
        <v>0.010416666666666666</v>
      </c>
      <c r="H8" s="290">
        <f t="shared" si="4"/>
        <v>0.10069444444444445</v>
      </c>
      <c r="I8" s="291"/>
      <c r="J8" s="292"/>
      <c r="K8" s="291">
        <f>7*6+6+1</f>
        <v>49</v>
      </c>
      <c r="L8" s="291"/>
      <c r="M8" s="291"/>
      <c r="N8" s="291"/>
      <c r="O8" s="293">
        <f t="shared" si="0"/>
        <v>0.0561344</v>
      </c>
      <c r="P8" s="294">
        <f t="shared" si="1"/>
        <v>0.001969537795555556</v>
      </c>
      <c r="Q8" s="294">
        <f t="shared" si="2"/>
        <v>3.4412202039012346E-05</v>
      </c>
      <c r="R8" s="294">
        <f t="shared" si="3"/>
        <v>4.0280438381165037E-07</v>
      </c>
      <c r="S8" s="288" t="s">
        <v>44</v>
      </c>
      <c r="T8" s="295" t="s">
        <v>183</v>
      </c>
      <c r="U8" s="296" t="s">
        <v>316</v>
      </c>
      <c r="V8" s="286" t="s">
        <v>43</v>
      </c>
    </row>
    <row r="9" spans="1:22" ht="12.75">
      <c r="A9" s="286"/>
      <c r="B9" s="35"/>
      <c r="C9" s="286" t="s">
        <v>364</v>
      </c>
      <c r="D9" s="287">
        <v>36510</v>
      </c>
      <c r="E9" s="288" t="s">
        <v>45</v>
      </c>
      <c r="F9" s="289">
        <v>0.10416666666666667</v>
      </c>
      <c r="G9" s="289">
        <v>0.1909722222222222</v>
      </c>
      <c r="H9" s="290">
        <f t="shared" si="4"/>
        <v>0.2951388888888889</v>
      </c>
      <c r="I9" s="291"/>
      <c r="J9" s="292"/>
      <c r="K9" s="291">
        <f>1053+1080-313</f>
        <v>1820</v>
      </c>
      <c r="L9" s="291"/>
      <c r="M9" s="291"/>
      <c r="N9" s="291"/>
      <c r="O9" s="293">
        <f t="shared" si="0"/>
        <v>2.084992</v>
      </c>
      <c r="P9" s="294">
        <f t="shared" si="1"/>
        <v>0.07315426097777779</v>
      </c>
      <c r="Q9" s="294">
        <f t="shared" si="2"/>
        <v>0.001278167504306173</v>
      </c>
      <c r="R9" s="294">
        <f t="shared" si="3"/>
        <v>1.496130568443273E-05</v>
      </c>
      <c r="S9" s="288" t="s">
        <v>44</v>
      </c>
      <c r="T9" s="295" t="s">
        <v>183</v>
      </c>
      <c r="U9" s="296" t="s">
        <v>317</v>
      </c>
      <c r="V9" s="286" t="s">
        <v>43</v>
      </c>
    </row>
    <row r="10" spans="1:22" ht="12.75">
      <c r="A10" s="286"/>
      <c r="B10" s="35"/>
      <c r="C10" s="286" t="s">
        <v>364</v>
      </c>
      <c r="D10" s="287">
        <v>36510</v>
      </c>
      <c r="E10" s="288" t="s">
        <v>45</v>
      </c>
      <c r="F10" s="289">
        <v>0.2986111111111111</v>
      </c>
      <c r="G10" s="289">
        <v>0.020833333333333332</v>
      </c>
      <c r="H10" s="290">
        <f t="shared" si="4"/>
        <v>0.3194444444444444</v>
      </c>
      <c r="I10" s="291"/>
      <c r="J10" s="292"/>
      <c r="K10" s="291">
        <f>10*8+8+2</f>
        <v>90</v>
      </c>
      <c r="L10" s="291"/>
      <c r="M10" s="291"/>
      <c r="N10" s="291"/>
      <c r="O10" s="293">
        <f t="shared" si="0"/>
        <v>0.103104</v>
      </c>
      <c r="P10" s="294">
        <f t="shared" si="1"/>
        <v>0.0036175184000000003</v>
      </c>
      <c r="Q10" s="294">
        <f t="shared" si="2"/>
        <v>6.320608537777778E-05</v>
      </c>
      <c r="R10" s="294">
        <f t="shared" si="3"/>
        <v>7.398447865928273E-07</v>
      </c>
      <c r="S10" s="288" t="s">
        <v>44</v>
      </c>
      <c r="T10" s="295" t="s">
        <v>183</v>
      </c>
      <c r="U10" s="296" t="s">
        <v>343</v>
      </c>
      <c r="V10" s="286" t="s">
        <v>43</v>
      </c>
    </row>
    <row r="11" spans="1:22" ht="12.75">
      <c r="A11" s="286"/>
      <c r="B11" s="35"/>
      <c r="C11" s="286" t="s">
        <v>364</v>
      </c>
      <c r="D11" s="287">
        <v>36510</v>
      </c>
      <c r="E11" s="288" t="s">
        <v>45</v>
      </c>
      <c r="F11" s="289">
        <v>0.3229166666666667</v>
      </c>
      <c r="G11" s="289">
        <v>0.041666666666666664</v>
      </c>
      <c r="H11" s="290">
        <f t="shared" si="4"/>
        <v>0.36458333333333337</v>
      </c>
      <c r="I11" s="291"/>
      <c r="J11" s="292"/>
      <c r="K11" s="291">
        <f>10*5*8</f>
        <v>400</v>
      </c>
      <c r="L11" s="291"/>
      <c r="M11" s="291"/>
      <c r="N11" s="291"/>
      <c r="O11" s="293">
        <f t="shared" si="0"/>
        <v>0.45824</v>
      </c>
      <c r="P11" s="294">
        <f t="shared" si="1"/>
        <v>0.016077859555555556</v>
      </c>
      <c r="Q11" s="294">
        <f t="shared" si="2"/>
        <v>0.00028091593501234567</v>
      </c>
      <c r="R11" s="294">
        <f t="shared" si="3"/>
        <v>3.288199051523676E-06</v>
      </c>
      <c r="S11" s="288" t="s">
        <v>44</v>
      </c>
      <c r="T11" s="295" t="s">
        <v>183</v>
      </c>
      <c r="U11" s="296" t="s">
        <v>344</v>
      </c>
      <c r="V11" s="286" t="s">
        <v>43</v>
      </c>
    </row>
    <row r="12" spans="1:22" ht="12.75">
      <c r="A12" s="286"/>
      <c r="B12" s="35"/>
      <c r="C12" s="286" t="s">
        <v>364</v>
      </c>
      <c r="D12" s="287">
        <v>36510</v>
      </c>
      <c r="E12" s="288" t="s">
        <v>45</v>
      </c>
      <c r="F12" s="289">
        <v>0.3680555555555556</v>
      </c>
      <c r="G12" s="289">
        <v>0.10972222222222222</v>
      </c>
      <c r="H12" s="290">
        <f t="shared" si="4"/>
        <v>0.4777777777777778</v>
      </c>
      <c r="I12" s="291"/>
      <c r="J12" s="292"/>
      <c r="K12" s="291">
        <f>(11*6+6)*2+(5*3+3)+(11*6+6)*2+(5*3+3)+(13*6+6)*2+8</f>
        <v>500</v>
      </c>
      <c r="L12" s="291"/>
      <c r="M12" s="291"/>
      <c r="N12" s="291"/>
      <c r="O12" s="293">
        <f t="shared" si="0"/>
        <v>0.5728</v>
      </c>
      <c r="P12" s="294">
        <f t="shared" si="1"/>
        <v>0.020097324444444446</v>
      </c>
      <c r="Q12" s="294">
        <f t="shared" si="2"/>
        <v>0.0003511449187654321</v>
      </c>
      <c r="R12" s="294">
        <f t="shared" si="3"/>
        <v>4.110248814404596E-06</v>
      </c>
      <c r="S12" s="288" t="s">
        <v>44</v>
      </c>
      <c r="T12" s="295" t="s">
        <v>183</v>
      </c>
      <c r="U12" s="296" t="s">
        <v>345</v>
      </c>
      <c r="V12" s="286" t="s">
        <v>43</v>
      </c>
    </row>
    <row r="13" spans="1:22" ht="12.75">
      <c r="A13" s="286"/>
      <c r="B13" s="35"/>
      <c r="C13" s="286" t="s">
        <v>364</v>
      </c>
      <c r="D13" s="287">
        <v>36510</v>
      </c>
      <c r="E13" s="288" t="s">
        <v>45</v>
      </c>
      <c r="F13" s="289">
        <v>0.4798611111111111</v>
      </c>
      <c r="G13" s="289">
        <v>0.03819444444444444</v>
      </c>
      <c r="H13" s="290">
        <f t="shared" si="4"/>
        <v>0.5180555555555556</v>
      </c>
      <c r="I13" s="291"/>
      <c r="J13" s="292"/>
      <c r="K13" s="291">
        <f>(5*3+3)*12+12</f>
        <v>228</v>
      </c>
      <c r="L13" s="291"/>
      <c r="M13" s="291"/>
      <c r="N13" s="291"/>
      <c r="O13" s="293">
        <f t="shared" si="0"/>
        <v>0.2611968</v>
      </c>
      <c r="P13" s="294">
        <f t="shared" si="1"/>
        <v>0.009164379946666665</v>
      </c>
      <c r="Q13" s="294">
        <f t="shared" si="2"/>
        <v>0.00016012208295703703</v>
      </c>
      <c r="R13" s="294">
        <f t="shared" si="3"/>
        <v>1.8742734593684955E-06</v>
      </c>
      <c r="S13" s="288" t="s">
        <v>44</v>
      </c>
      <c r="T13" s="295" t="s">
        <v>183</v>
      </c>
      <c r="U13" s="296" t="s">
        <v>346</v>
      </c>
      <c r="V13" s="286" t="s">
        <v>43</v>
      </c>
    </row>
    <row r="14" spans="1:22" ht="12.75">
      <c r="A14" s="286"/>
      <c r="B14" s="35"/>
      <c r="C14" s="286" t="s">
        <v>364</v>
      </c>
      <c r="D14" s="287">
        <v>36510</v>
      </c>
      <c r="E14" s="288" t="s">
        <v>45</v>
      </c>
      <c r="F14" s="289">
        <v>0.5208333333333334</v>
      </c>
      <c r="G14" s="289">
        <v>0.06388888888888888</v>
      </c>
      <c r="H14" s="290">
        <f t="shared" si="4"/>
        <v>0.5847222222222223</v>
      </c>
      <c r="I14" s="291"/>
      <c r="J14" s="292"/>
      <c r="K14" s="291">
        <f>(9*16+16)+(15*16+16)+6</f>
        <v>422</v>
      </c>
      <c r="L14" s="291"/>
      <c r="M14" s="291"/>
      <c r="N14" s="291"/>
      <c r="O14" s="293">
        <f t="shared" si="0"/>
        <v>0.4834432</v>
      </c>
      <c r="P14" s="294">
        <f t="shared" si="1"/>
        <v>0.016962141831111114</v>
      </c>
      <c r="Q14" s="294">
        <f t="shared" si="2"/>
        <v>0.0002963663114380248</v>
      </c>
      <c r="R14" s="294">
        <f t="shared" si="3"/>
        <v>3.46904999935748E-06</v>
      </c>
      <c r="S14" s="288" t="s">
        <v>44</v>
      </c>
      <c r="T14" s="295" t="s">
        <v>183</v>
      </c>
      <c r="U14" s="296" t="s">
        <v>347</v>
      </c>
      <c r="V14" s="286" t="s">
        <v>43</v>
      </c>
    </row>
    <row r="15" spans="1:22" ht="12.75">
      <c r="A15" s="286"/>
      <c r="B15" s="35"/>
      <c r="C15" s="286" t="s">
        <v>364</v>
      </c>
      <c r="D15" s="287">
        <v>36510</v>
      </c>
      <c r="E15" s="288" t="s">
        <v>45</v>
      </c>
      <c r="F15" s="289">
        <v>0.5868055555555556</v>
      </c>
      <c r="G15" s="289">
        <v>0.03333333333333333</v>
      </c>
      <c r="H15" s="290">
        <f t="shared" si="4"/>
        <v>0.6201388888888889</v>
      </c>
      <c r="I15" s="291"/>
      <c r="J15" s="292"/>
      <c r="K15" s="291">
        <f>(13*6+6)+(19*4+4)+2</f>
        <v>166</v>
      </c>
      <c r="L15" s="291"/>
      <c r="M15" s="291"/>
      <c r="N15" s="291"/>
      <c r="O15" s="293">
        <f t="shared" si="0"/>
        <v>0.1901696</v>
      </c>
      <c r="P15" s="294">
        <f t="shared" si="1"/>
        <v>0.006672311715555556</v>
      </c>
      <c r="Q15" s="294">
        <f t="shared" si="2"/>
        <v>0.00011658011303012345</v>
      </c>
      <c r="R15" s="294">
        <f t="shared" si="3"/>
        <v>1.3646026063823256E-06</v>
      </c>
      <c r="S15" s="288" t="s">
        <v>44</v>
      </c>
      <c r="T15" s="295" t="s">
        <v>183</v>
      </c>
      <c r="U15" s="296" t="s">
        <v>374</v>
      </c>
      <c r="V15" s="286" t="s">
        <v>43</v>
      </c>
    </row>
    <row r="16" spans="1:22" ht="25.5">
      <c r="A16" s="286" t="s">
        <v>277</v>
      </c>
      <c r="B16" s="35"/>
      <c r="C16" s="286" t="s">
        <v>364</v>
      </c>
      <c r="D16" s="287">
        <v>36510</v>
      </c>
      <c r="E16" s="288" t="s">
        <v>45</v>
      </c>
      <c r="F16" s="289">
        <v>0.6222222222222222</v>
      </c>
      <c r="G16" s="289"/>
      <c r="H16" s="290"/>
      <c r="I16" s="291"/>
      <c r="J16" s="292"/>
      <c r="K16" s="291"/>
      <c r="L16" s="291"/>
      <c r="M16" s="291"/>
      <c r="N16" s="291"/>
      <c r="O16" s="293">
        <f t="shared" si="0"/>
        <v>0</v>
      </c>
      <c r="P16" s="294">
        <f t="shared" si="1"/>
        <v>0</v>
      </c>
      <c r="Q16" s="294">
        <f t="shared" si="2"/>
        <v>0</v>
      </c>
      <c r="R16" s="294">
        <f t="shared" si="3"/>
        <v>0</v>
      </c>
      <c r="S16" s="288"/>
      <c r="T16" s="295"/>
      <c r="U16" s="296"/>
      <c r="V16" s="286" t="s">
        <v>43</v>
      </c>
    </row>
    <row r="17" spans="1:22" ht="12.75">
      <c r="A17" s="105" t="s">
        <v>342</v>
      </c>
      <c r="B17" s="40">
        <v>14</v>
      </c>
      <c r="C17" s="106"/>
      <c r="D17" s="107">
        <v>36510</v>
      </c>
      <c r="E17" s="108" t="s">
        <v>45</v>
      </c>
      <c r="F17" s="109">
        <v>0.6458333333333334</v>
      </c>
      <c r="G17" s="109">
        <v>0.09375</v>
      </c>
      <c r="H17" s="104">
        <f aca="true" t="shared" si="5" ref="H17:H28">SUM(F17:G17)</f>
        <v>0.7395833333333334</v>
      </c>
      <c r="I17" s="110"/>
      <c r="J17" s="111"/>
      <c r="K17" s="112"/>
      <c r="L17" s="110"/>
      <c r="M17" s="110"/>
      <c r="N17" s="110"/>
      <c r="O17" s="113">
        <f>SUM(O2:O16)</f>
        <v>9.201459200000002</v>
      </c>
      <c r="P17" s="113">
        <f>SUM(P2:P16)</f>
        <v>0.32284341987555565</v>
      </c>
      <c r="Q17" s="113">
        <f>SUM(Q2:Q16)</f>
        <v>0.005640791975047902</v>
      </c>
      <c r="R17" s="113">
        <f>SUM(R2:R16)</f>
        <v>6.602703695459544E-05</v>
      </c>
      <c r="S17" s="114"/>
      <c r="T17" s="124"/>
      <c r="U17" s="115" t="s">
        <v>187</v>
      </c>
      <c r="V17" s="116"/>
    </row>
    <row r="18" spans="1:22" ht="38.25">
      <c r="A18" s="299" t="s">
        <v>46</v>
      </c>
      <c r="B18" s="347"/>
      <c r="C18" s="299" t="s">
        <v>47</v>
      </c>
      <c r="D18" s="300">
        <v>36511</v>
      </c>
      <c r="E18" s="348">
        <v>351</v>
      </c>
      <c r="F18" s="349">
        <v>0.6666898148148147</v>
      </c>
      <c r="G18" s="349">
        <v>0.003472222222222222</v>
      </c>
      <c r="H18" s="350">
        <f t="shared" si="5"/>
        <v>0.6701620370370369</v>
      </c>
      <c r="I18" s="349"/>
      <c r="J18" s="351">
        <v>12</v>
      </c>
      <c r="K18" s="348">
        <v>16</v>
      </c>
      <c r="L18" s="348">
        <v>17</v>
      </c>
      <c r="M18" s="348">
        <v>7</v>
      </c>
      <c r="N18" s="348">
        <v>2.5</v>
      </c>
      <c r="O18" s="352">
        <f aca="true" t="shared" si="6" ref="O18:O29">K18*1625088/N18/(1024*1024)</f>
        <v>9.91875</v>
      </c>
      <c r="P18" s="353">
        <f aca="true" t="shared" si="7" ref="P18:P29">O18*126.31/3600</f>
        <v>0.3480103645833333</v>
      </c>
      <c r="Q18" s="353">
        <f aca="true" t="shared" si="8" ref="Q18:Q29">O18*62.9/3600</f>
        <v>0.17330260416666665</v>
      </c>
      <c r="R18" s="353">
        <f aca="true" t="shared" si="9" ref="R18:R29">O18*42.139/3600</f>
        <v>0.11610172395833332</v>
      </c>
      <c r="S18" s="351">
        <v>99347</v>
      </c>
      <c r="T18" s="354" t="s">
        <v>180</v>
      </c>
      <c r="U18" s="355" t="s">
        <v>48</v>
      </c>
      <c r="V18" s="299" t="s">
        <v>43</v>
      </c>
    </row>
    <row r="19" spans="1:22" ht="12.75">
      <c r="A19" s="54" t="s">
        <v>49</v>
      </c>
      <c r="B19" s="55"/>
      <c r="C19" s="54" t="s">
        <v>357</v>
      </c>
      <c r="D19" s="80">
        <v>36513</v>
      </c>
      <c r="E19" s="56">
        <v>353</v>
      </c>
      <c r="F19" s="57">
        <v>0</v>
      </c>
      <c r="G19" s="57">
        <v>0.007638888888888889</v>
      </c>
      <c r="H19" s="58">
        <f t="shared" si="5"/>
        <v>0.007638888888888889</v>
      </c>
      <c r="I19" s="57" t="s">
        <v>324</v>
      </c>
      <c r="J19" s="59">
        <v>12</v>
      </c>
      <c r="K19" s="56">
        <v>4</v>
      </c>
      <c r="L19" s="15">
        <v>27</v>
      </c>
      <c r="M19" s="56">
        <v>0</v>
      </c>
      <c r="N19" s="56">
        <v>2.6</v>
      </c>
      <c r="O19" s="79">
        <f t="shared" si="6"/>
        <v>2.3843149038461537</v>
      </c>
      <c r="P19" s="60">
        <f t="shared" si="7"/>
        <v>0.08365633764022436</v>
      </c>
      <c r="Q19" s="60">
        <f t="shared" si="8"/>
        <v>0.04165927984775641</v>
      </c>
      <c r="R19" s="60">
        <f t="shared" si="9"/>
        <v>0.027909068259214746</v>
      </c>
      <c r="S19" s="59">
        <v>99347</v>
      </c>
      <c r="T19" s="125" t="s">
        <v>181</v>
      </c>
      <c r="U19" s="61" t="s">
        <v>50</v>
      </c>
      <c r="V19" s="54" t="s">
        <v>43</v>
      </c>
    </row>
    <row r="20" spans="1:22" ht="12.75">
      <c r="A20" s="13" t="s">
        <v>51</v>
      </c>
      <c r="B20" s="34"/>
      <c r="C20" s="13" t="s">
        <v>357</v>
      </c>
      <c r="D20" s="80">
        <v>36513</v>
      </c>
      <c r="E20" s="56">
        <v>353</v>
      </c>
      <c r="F20" s="16">
        <v>0.010416666666666666</v>
      </c>
      <c r="G20" s="16">
        <v>0.010416666666666666</v>
      </c>
      <c r="H20" s="51">
        <f t="shared" si="5"/>
        <v>0.020833333333333332</v>
      </c>
      <c r="I20" s="16" t="s">
        <v>324</v>
      </c>
      <c r="J20" s="17">
        <v>12</v>
      </c>
      <c r="K20" s="15">
        <v>6</v>
      </c>
      <c r="L20" s="15">
        <v>27</v>
      </c>
      <c r="M20" s="15">
        <v>0</v>
      </c>
      <c r="N20" s="56">
        <v>2.6</v>
      </c>
      <c r="O20" s="79">
        <f t="shared" si="6"/>
        <v>3.576472355769231</v>
      </c>
      <c r="P20" s="60">
        <f t="shared" si="7"/>
        <v>0.12548450646033654</v>
      </c>
      <c r="Q20" s="60">
        <f t="shared" si="8"/>
        <v>0.062488919771634614</v>
      </c>
      <c r="R20" s="60">
        <f t="shared" si="9"/>
        <v>0.04186360238882212</v>
      </c>
      <c r="S20" s="59">
        <v>99347</v>
      </c>
      <c r="T20" s="125" t="s">
        <v>181</v>
      </c>
      <c r="U20" s="29" t="s">
        <v>234</v>
      </c>
      <c r="V20" s="13" t="s">
        <v>43</v>
      </c>
    </row>
    <row r="21" spans="1:22" ht="12.75">
      <c r="A21" s="54" t="s">
        <v>211</v>
      </c>
      <c r="B21" s="55"/>
      <c r="C21" s="54" t="s">
        <v>357</v>
      </c>
      <c r="D21" s="80">
        <v>36513</v>
      </c>
      <c r="E21" s="56">
        <v>353</v>
      </c>
      <c r="F21" s="57">
        <v>0.022222222222222223</v>
      </c>
      <c r="G21" s="57">
        <v>0.010416666666666666</v>
      </c>
      <c r="H21" s="58">
        <f t="shared" si="5"/>
        <v>0.03263888888888889</v>
      </c>
      <c r="I21" s="57" t="s">
        <v>324</v>
      </c>
      <c r="J21" s="59">
        <v>12</v>
      </c>
      <c r="K21" s="56">
        <v>6</v>
      </c>
      <c r="L21" s="15">
        <v>27</v>
      </c>
      <c r="M21" s="56">
        <v>0</v>
      </c>
      <c r="N21" s="56">
        <v>2.6</v>
      </c>
      <c r="O21" s="79">
        <f t="shared" si="6"/>
        <v>3.576472355769231</v>
      </c>
      <c r="P21" s="60">
        <f t="shared" si="7"/>
        <v>0.12548450646033654</v>
      </c>
      <c r="Q21" s="60">
        <f t="shared" si="8"/>
        <v>0.062488919771634614</v>
      </c>
      <c r="R21" s="60">
        <f t="shared" si="9"/>
        <v>0.04186360238882212</v>
      </c>
      <c r="S21" s="59">
        <v>99347</v>
      </c>
      <c r="T21" s="125" t="s">
        <v>181</v>
      </c>
      <c r="U21" s="61" t="s">
        <v>235</v>
      </c>
      <c r="V21" s="54" t="s">
        <v>43</v>
      </c>
    </row>
    <row r="22" spans="1:22" ht="12.75">
      <c r="A22" s="13" t="s">
        <v>212</v>
      </c>
      <c r="B22" s="34"/>
      <c r="C22" s="13" t="s">
        <v>357</v>
      </c>
      <c r="D22" s="80">
        <v>36513</v>
      </c>
      <c r="E22" s="56">
        <v>353</v>
      </c>
      <c r="F22" s="16">
        <v>0.034722222222222224</v>
      </c>
      <c r="G22" s="16">
        <v>0.011805555555555555</v>
      </c>
      <c r="H22" s="51">
        <f t="shared" si="5"/>
        <v>0.04652777777777778</v>
      </c>
      <c r="I22" s="16" t="s">
        <v>324</v>
      </c>
      <c r="J22" s="17">
        <v>12</v>
      </c>
      <c r="K22" s="15">
        <v>9</v>
      </c>
      <c r="L22" s="15">
        <v>27</v>
      </c>
      <c r="M22" s="15">
        <v>0</v>
      </c>
      <c r="N22" s="56">
        <v>2.6</v>
      </c>
      <c r="O22" s="79">
        <f t="shared" si="6"/>
        <v>5.364708533653846</v>
      </c>
      <c r="P22" s="60">
        <f t="shared" si="7"/>
        <v>0.1882267596905048</v>
      </c>
      <c r="Q22" s="60">
        <f t="shared" si="8"/>
        <v>0.09373337965745192</v>
      </c>
      <c r="R22" s="60">
        <f t="shared" si="9"/>
        <v>0.06279540358323317</v>
      </c>
      <c r="S22" s="59">
        <v>99347</v>
      </c>
      <c r="T22" s="125" t="s">
        <v>181</v>
      </c>
      <c r="U22" s="29" t="s">
        <v>213</v>
      </c>
      <c r="V22" s="13" t="s">
        <v>43</v>
      </c>
    </row>
    <row r="23" spans="1:22" ht="12.75">
      <c r="A23" s="54" t="s">
        <v>214</v>
      </c>
      <c r="B23" s="55"/>
      <c r="C23" s="54" t="s">
        <v>357</v>
      </c>
      <c r="D23" s="80">
        <v>36513</v>
      </c>
      <c r="E23" s="56">
        <v>353</v>
      </c>
      <c r="F23" s="57">
        <v>0.049305555555555554</v>
      </c>
      <c r="G23" s="57">
        <v>0.007638888888888889</v>
      </c>
      <c r="H23" s="58">
        <f t="shared" si="5"/>
        <v>0.05694444444444444</v>
      </c>
      <c r="I23" s="57" t="s">
        <v>324</v>
      </c>
      <c r="J23" s="59">
        <v>12</v>
      </c>
      <c r="K23" s="56">
        <v>2</v>
      </c>
      <c r="L23" s="15">
        <v>27</v>
      </c>
      <c r="M23" s="56">
        <v>0</v>
      </c>
      <c r="N23" s="56">
        <v>2.6</v>
      </c>
      <c r="O23" s="79">
        <f t="shared" si="6"/>
        <v>1.1921574519230769</v>
      </c>
      <c r="P23" s="60">
        <f t="shared" si="7"/>
        <v>0.04182816882011218</v>
      </c>
      <c r="Q23" s="60">
        <f t="shared" si="8"/>
        <v>0.020829639923878204</v>
      </c>
      <c r="R23" s="60">
        <f t="shared" si="9"/>
        <v>0.013954534129607373</v>
      </c>
      <c r="S23" s="59">
        <v>99347</v>
      </c>
      <c r="T23" s="125" t="s">
        <v>181</v>
      </c>
      <c r="U23" s="61" t="s">
        <v>215</v>
      </c>
      <c r="V23" s="54" t="s">
        <v>43</v>
      </c>
    </row>
    <row r="24" spans="1:22" ht="12.75">
      <c r="A24" s="13" t="s">
        <v>216</v>
      </c>
      <c r="B24" s="34"/>
      <c r="C24" s="13" t="s">
        <v>357</v>
      </c>
      <c r="D24" s="80">
        <v>36513</v>
      </c>
      <c r="E24" s="56">
        <v>353</v>
      </c>
      <c r="F24" s="16">
        <v>0.05833333333333333</v>
      </c>
      <c r="G24" s="16">
        <v>0.006944444444444444</v>
      </c>
      <c r="H24" s="51">
        <f t="shared" si="5"/>
        <v>0.06527777777777777</v>
      </c>
      <c r="I24" s="16" t="s">
        <v>324</v>
      </c>
      <c r="J24" s="17">
        <v>12</v>
      </c>
      <c r="K24" s="15">
        <v>2</v>
      </c>
      <c r="L24" s="15">
        <v>27</v>
      </c>
      <c r="M24" s="15">
        <v>0</v>
      </c>
      <c r="N24" s="56">
        <v>2.6</v>
      </c>
      <c r="O24" s="79">
        <f t="shared" si="6"/>
        <v>1.1921574519230769</v>
      </c>
      <c r="P24" s="60">
        <f t="shared" si="7"/>
        <v>0.04182816882011218</v>
      </c>
      <c r="Q24" s="60">
        <f t="shared" si="8"/>
        <v>0.020829639923878204</v>
      </c>
      <c r="R24" s="60">
        <f t="shared" si="9"/>
        <v>0.013954534129607373</v>
      </c>
      <c r="S24" s="59">
        <v>99347</v>
      </c>
      <c r="T24" s="125" t="s">
        <v>181</v>
      </c>
      <c r="U24" s="29" t="s">
        <v>217</v>
      </c>
      <c r="V24" s="13" t="s">
        <v>43</v>
      </c>
    </row>
    <row r="25" spans="1:22" ht="12.75">
      <c r="A25" s="13" t="s">
        <v>218</v>
      </c>
      <c r="B25" s="34"/>
      <c r="C25" s="13" t="s">
        <v>357</v>
      </c>
      <c r="D25" s="80">
        <v>36513</v>
      </c>
      <c r="E25" s="56">
        <v>353</v>
      </c>
      <c r="F25" s="16">
        <v>0.06736111111111111</v>
      </c>
      <c r="G25" s="16">
        <v>0.011805555555555555</v>
      </c>
      <c r="H25" s="51">
        <f t="shared" si="5"/>
        <v>0.07916666666666666</v>
      </c>
      <c r="I25" s="16" t="s">
        <v>324</v>
      </c>
      <c r="J25" s="17">
        <v>12</v>
      </c>
      <c r="K25" s="15">
        <v>6</v>
      </c>
      <c r="L25" s="15">
        <v>27</v>
      </c>
      <c r="M25" s="15">
        <v>0</v>
      </c>
      <c r="N25" s="56">
        <v>2.6</v>
      </c>
      <c r="O25" s="79">
        <f t="shared" si="6"/>
        <v>3.576472355769231</v>
      </c>
      <c r="P25" s="60">
        <f t="shared" si="7"/>
        <v>0.12548450646033654</v>
      </c>
      <c r="Q25" s="60">
        <f t="shared" si="8"/>
        <v>0.062488919771634614</v>
      </c>
      <c r="R25" s="60">
        <f t="shared" si="9"/>
        <v>0.04186360238882212</v>
      </c>
      <c r="S25" s="59">
        <v>99347</v>
      </c>
      <c r="T25" s="125" t="s">
        <v>181</v>
      </c>
      <c r="U25" s="29" t="s">
        <v>219</v>
      </c>
      <c r="V25" s="13" t="s">
        <v>43</v>
      </c>
    </row>
    <row r="26" spans="1:22" ht="12.75">
      <c r="A26" s="13" t="s">
        <v>220</v>
      </c>
      <c r="B26" s="34"/>
      <c r="C26" s="13" t="s">
        <v>357</v>
      </c>
      <c r="D26" s="80">
        <v>36513</v>
      </c>
      <c r="E26" s="56">
        <v>353</v>
      </c>
      <c r="F26" s="16">
        <v>0.08125</v>
      </c>
      <c r="G26" s="16">
        <v>0.011805555555555555</v>
      </c>
      <c r="H26" s="51">
        <f t="shared" si="5"/>
        <v>0.09305555555555556</v>
      </c>
      <c r="I26" s="16" t="s">
        <v>324</v>
      </c>
      <c r="J26" s="17">
        <v>12</v>
      </c>
      <c r="K26" s="15">
        <v>6</v>
      </c>
      <c r="L26" s="15">
        <v>27</v>
      </c>
      <c r="M26" s="15">
        <v>0</v>
      </c>
      <c r="N26" s="56">
        <v>2.6</v>
      </c>
      <c r="O26" s="79">
        <f t="shared" si="6"/>
        <v>3.576472355769231</v>
      </c>
      <c r="P26" s="60">
        <f t="shared" si="7"/>
        <v>0.12548450646033654</v>
      </c>
      <c r="Q26" s="60">
        <f t="shared" si="8"/>
        <v>0.062488919771634614</v>
      </c>
      <c r="R26" s="60">
        <f t="shared" si="9"/>
        <v>0.04186360238882212</v>
      </c>
      <c r="S26" s="59">
        <v>99347</v>
      </c>
      <c r="T26" s="125" t="s">
        <v>181</v>
      </c>
      <c r="U26" s="29" t="s">
        <v>221</v>
      </c>
      <c r="V26" s="13" t="s">
        <v>43</v>
      </c>
    </row>
    <row r="27" spans="1:22" ht="12.75">
      <c r="A27" s="13" t="s">
        <v>222</v>
      </c>
      <c r="B27" s="34"/>
      <c r="C27" s="13" t="s">
        <v>357</v>
      </c>
      <c r="D27" s="80">
        <v>36513</v>
      </c>
      <c r="E27" s="56">
        <v>353</v>
      </c>
      <c r="F27" s="16">
        <v>0.09513888888888888</v>
      </c>
      <c r="G27" s="16">
        <v>0.011805555555555555</v>
      </c>
      <c r="H27" s="51">
        <f t="shared" si="5"/>
        <v>0.10694444444444444</v>
      </c>
      <c r="I27" s="16" t="s">
        <v>324</v>
      </c>
      <c r="J27" s="17">
        <v>12</v>
      </c>
      <c r="K27" s="15">
        <v>4</v>
      </c>
      <c r="L27" s="15">
        <v>27</v>
      </c>
      <c r="M27" s="15">
        <v>0</v>
      </c>
      <c r="N27" s="56">
        <v>2.6</v>
      </c>
      <c r="O27" s="79">
        <f t="shared" si="6"/>
        <v>2.3843149038461537</v>
      </c>
      <c r="P27" s="60">
        <f t="shared" si="7"/>
        <v>0.08365633764022436</v>
      </c>
      <c r="Q27" s="60">
        <f t="shared" si="8"/>
        <v>0.04165927984775641</v>
      </c>
      <c r="R27" s="60">
        <f t="shared" si="9"/>
        <v>0.027909068259214746</v>
      </c>
      <c r="S27" s="59">
        <v>99347</v>
      </c>
      <c r="T27" s="125" t="s">
        <v>181</v>
      </c>
      <c r="U27" s="29" t="s">
        <v>223</v>
      </c>
      <c r="V27" s="13" t="s">
        <v>43</v>
      </c>
    </row>
    <row r="28" spans="1:22" ht="25.5">
      <c r="A28" s="5" t="s">
        <v>198</v>
      </c>
      <c r="B28" s="33"/>
      <c r="C28" s="5" t="s">
        <v>54</v>
      </c>
      <c r="D28" s="9">
        <v>36513</v>
      </c>
      <c r="E28" s="75" t="s">
        <v>224</v>
      </c>
      <c r="F28" s="11">
        <v>0.875</v>
      </c>
      <c r="G28" s="11">
        <v>0.475</v>
      </c>
      <c r="H28" s="52">
        <f t="shared" si="5"/>
        <v>1.35</v>
      </c>
      <c r="I28" s="10"/>
      <c r="J28" s="12">
        <v>8</v>
      </c>
      <c r="K28" s="10">
        <v>780</v>
      </c>
      <c r="L28" s="65">
        <v>18</v>
      </c>
      <c r="M28" s="10">
        <v>5</v>
      </c>
      <c r="N28" s="10">
        <v>4</v>
      </c>
      <c r="O28" s="69">
        <f t="shared" si="6"/>
        <v>302.2119140625</v>
      </c>
      <c r="P28" s="70">
        <f t="shared" si="7"/>
        <v>10.603440795898438</v>
      </c>
      <c r="Q28" s="70">
        <f t="shared" si="8"/>
        <v>5.280313720703125</v>
      </c>
      <c r="R28" s="70">
        <f t="shared" si="9"/>
        <v>3.5374744018554694</v>
      </c>
      <c r="S28" s="75" t="s">
        <v>44</v>
      </c>
      <c r="T28" s="126" t="s">
        <v>182</v>
      </c>
      <c r="U28" s="30" t="s">
        <v>318</v>
      </c>
      <c r="V28" s="5" t="s">
        <v>43</v>
      </c>
    </row>
    <row r="29" spans="1:22" ht="51">
      <c r="A29" s="5"/>
      <c r="B29" s="33"/>
      <c r="C29" s="62"/>
      <c r="D29" s="64"/>
      <c r="E29" s="74"/>
      <c r="F29" s="11"/>
      <c r="G29" s="11"/>
      <c r="H29" s="52"/>
      <c r="I29" s="10"/>
      <c r="J29" s="12">
        <v>12</v>
      </c>
      <c r="K29" s="10">
        <v>40</v>
      </c>
      <c r="L29" s="65">
        <v>25</v>
      </c>
      <c r="M29" s="10" t="s">
        <v>210</v>
      </c>
      <c r="N29" s="10">
        <v>2.5</v>
      </c>
      <c r="O29" s="69">
        <f t="shared" si="6"/>
        <v>24.796875</v>
      </c>
      <c r="P29" s="70">
        <f t="shared" si="7"/>
        <v>0.8700259114583333</v>
      </c>
      <c r="Q29" s="70">
        <f t="shared" si="8"/>
        <v>0.4332565104166667</v>
      </c>
      <c r="R29" s="70">
        <f t="shared" si="9"/>
        <v>0.2902543098958334</v>
      </c>
      <c r="S29" s="75" t="s">
        <v>44</v>
      </c>
      <c r="T29" s="126" t="s">
        <v>182</v>
      </c>
      <c r="U29" s="30" t="s">
        <v>227</v>
      </c>
      <c r="V29" s="5" t="s">
        <v>43</v>
      </c>
    </row>
    <row r="30" spans="1:22" ht="13.5" thickBot="1">
      <c r="A30" s="152" t="s">
        <v>342</v>
      </c>
      <c r="B30" s="117">
        <v>43</v>
      </c>
      <c r="C30" s="117"/>
      <c r="D30" s="118">
        <v>36514</v>
      </c>
      <c r="E30" s="117">
        <v>354</v>
      </c>
      <c r="F30" s="119">
        <v>0.6840277777777778</v>
      </c>
      <c r="G30" s="119">
        <v>0.548611111111111</v>
      </c>
      <c r="H30" s="120">
        <f aca="true" t="shared" si="10" ref="H30:H46">SUM(F30:G30)</f>
        <v>1.2326388888888888</v>
      </c>
      <c r="I30" s="117"/>
      <c r="J30" s="117"/>
      <c r="K30" s="117"/>
      <c r="L30" s="117"/>
      <c r="M30" s="117"/>
      <c r="N30" s="132"/>
      <c r="O30" s="133">
        <f>SUM(O18:O29)</f>
        <v>363.7510817307692</v>
      </c>
      <c r="P30" s="133">
        <f>SUM(P18:P29)</f>
        <v>12.762610870392628</v>
      </c>
      <c r="Q30" s="133">
        <f>SUM(Q18:Q29)</f>
        <v>6.355539733573718</v>
      </c>
      <c r="R30" s="133">
        <f>SUM(R18:R29)</f>
        <v>4.2578074536258015</v>
      </c>
      <c r="S30" s="117"/>
      <c r="T30" s="127"/>
      <c r="U30" s="121" t="s">
        <v>188</v>
      </c>
      <c r="V30" s="117"/>
    </row>
    <row r="31" spans="1:22" ht="25.5">
      <c r="A31" s="93" t="s">
        <v>113</v>
      </c>
      <c r="B31" s="94"/>
      <c r="C31" s="93" t="s">
        <v>364</v>
      </c>
      <c r="D31" s="95">
        <v>36536</v>
      </c>
      <c r="E31" s="96" t="s">
        <v>296</v>
      </c>
      <c r="F31" s="97">
        <v>0.020833333333333332</v>
      </c>
      <c r="G31" s="97">
        <v>0.022222222222222223</v>
      </c>
      <c r="H31" s="98">
        <f t="shared" si="10"/>
        <v>0.043055555555555555</v>
      </c>
      <c r="I31" s="99"/>
      <c r="J31" s="100"/>
      <c r="K31" s="99">
        <v>100</v>
      </c>
      <c r="L31" s="99"/>
      <c r="M31" s="99"/>
      <c r="N31" s="99"/>
      <c r="O31" s="101">
        <f>K31*2864/2.5/1000000</f>
        <v>0.11456</v>
      </c>
      <c r="P31" s="102">
        <f>O31*126.31/3600</f>
        <v>0.004019464888888889</v>
      </c>
      <c r="Q31" s="102">
        <f>P31*62.9/3600</f>
        <v>7.022898375308642E-05</v>
      </c>
      <c r="R31" s="102">
        <f>Q31*42.139/3600</f>
        <v>8.22049762880919E-07</v>
      </c>
      <c r="S31" s="96" t="s">
        <v>389</v>
      </c>
      <c r="T31" s="128" t="s">
        <v>184</v>
      </c>
      <c r="U31" s="103" t="s">
        <v>114</v>
      </c>
      <c r="V31" s="93" t="s">
        <v>43</v>
      </c>
    </row>
    <row r="32" spans="1:22" ht="38.25">
      <c r="A32" s="92" t="s">
        <v>414</v>
      </c>
      <c r="B32" s="142"/>
      <c r="C32" s="92" t="s">
        <v>54</v>
      </c>
      <c r="D32" s="143">
        <v>36536</v>
      </c>
      <c r="E32" s="144" t="s">
        <v>296</v>
      </c>
      <c r="F32" s="145">
        <v>0.052083333333333336</v>
      </c>
      <c r="G32" s="145">
        <v>0.041666666666666664</v>
      </c>
      <c r="H32" s="146">
        <f t="shared" si="10"/>
        <v>0.09375</v>
      </c>
      <c r="I32" s="145"/>
      <c r="J32" s="148">
        <v>12</v>
      </c>
      <c r="K32" s="147">
        <v>640</v>
      </c>
      <c r="L32" s="147" t="s">
        <v>194</v>
      </c>
      <c r="M32" s="147" t="s">
        <v>336</v>
      </c>
      <c r="N32" s="147">
        <v>2.5</v>
      </c>
      <c r="O32" s="149">
        <f>K32*1625088/N32/(1024*1024)</f>
        <v>396.75</v>
      </c>
      <c r="P32" s="150">
        <f>O32*126.31/3600</f>
        <v>13.920414583333333</v>
      </c>
      <c r="Q32" s="150">
        <f>O32*62.9/3600</f>
        <v>6.932104166666667</v>
      </c>
      <c r="R32" s="150">
        <f>O32*42.139/3600</f>
        <v>4.644068958333334</v>
      </c>
      <c r="S32" s="144" t="s">
        <v>389</v>
      </c>
      <c r="T32" s="158" t="s">
        <v>185</v>
      </c>
      <c r="U32" s="151" t="s">
        <v>367</v>
      </c>
      <c r="V32" s="92" t="s">
        <v>43</v>
      </c>
    </row>
    <row r="33" spans="1:22" ht="12.75">
      <c r="A33" s="105" t="s">
        <v>342</v>
      </c>
      <c r="B33" s="40">
        <v>43</v>
      </c>
      <c r="C33" s="116"/>
      <c r="D33" s="141">
        <v>36536</v>
      </c>
      <c r="E33" s="114" t="s">
        <v>296</v>
      </c>
      <c r="F33" s="109">
        <v>0.6666666666666666</v>
      </c>
      <c r="G33" s="109">
        <v>0.3333333333333333</v>
      </c>
      <c r="H33" s="104">
        <f t="shared" si="10"/>
        <v>1</v>
      </c>
      <c r="I33" s="110"/>
      <c r="J33" s="111"/>
      <c r="K33" s="110"/>
      <c r="L33" s="110"/>
      <c r="M33" s="110"/>
      <c r="N33" s="110"/>
      <c r="O33" s="113">
        <f>SUM(O31:O32)</f>
        <v>396.86456</v>
      </c>
      <c r="P33" s="113">
        <f>SUM(P31:P32)</f>
        <v>13.924434048222222</v>
      </c>
      <c r="Q33" s="113">
        <f>SUM(Q31:Q32)</f>
        <v>6.93217439565042</v>
      </c>
      <c r="R33" s="113">
        <f>SUM(R31:R32)</f>
        <v>4.644069780383097</v>
      </c>
      <c r="S33" s="114"/>
      <c r="T33" s="124"/>
      <c r="U33" s="115"/>
      <c r="V33" s="116"/>
    </row>
    <row r="34" spans="1:22" ht="38.25">
      <c r="A34" s="62" t="s">
        <v>415</v>
      </c>
      <c r="B34" s="63"/>
      <c r="C34" s="62" t="s">
        <v>54</v>
      </c>
      <c r="D34" s="64">
        <v>36537</v>
      </c>
      <c r="E34" s="74" t="s">
        <v>327</v>
      </c>
      <c r="F34" s="66">
        <v>0.020833333333333332</v>
      </c>
      <c r="G34" s="66">
        <v>0.041666666666666664</v>
      </c>
      <c r="H34" s="67">
        <f t="shared" si="10"/>
        <v>0.0625</v>
      </c>
      <c r="I34" s="66"/>
      <c r="J34" s="68">
        <v>12</v>
      </c>
      <c r="K34" s="65">
        <v>128</v>
      </c>
      <c r="L34" s="65" t="s">
        <v>284</v>
      </c>
      <c r="M34" s="65" t="s">
        <v>210</v>
      </c>
      <c r="N34" s="65">
        <v>2.5</v>
      </c>
      <c r="O34" s="69">
        <f>K34*1625088/N34/(1024*1024)</f>
        <v>79.35</v>
      </c>
      <c r="P34" s="70">
        <f>O34*126.31/3600</f>
        <v>2.7840829166666663</v>
      </c>
      <c r="Q34" s="70">
        <f>O34*62.9/3600</f>
        <v>1.3864208333333332</v>
      </c>
      <c r="R34" s="70">
        <f>O34*42.139/3600</f>
        <v>0.9288137916666666</v>
      </c>
      <c r="S34" s="74" t="s">
        <v>389</v>
      </c>
      <c r="T34" s="129" t="s">
        <v>185</v>
      </c>
      <c r="U34" s="71" t="s">
        <v>178</v>
      </c>
      <c r="V34" s="62" t="s">
        <v>43</v>
      </c>
    </row>
    <row r="35" spans="1:22" ht="38.25">
      <c r="A35" s="298" t="s">
        <v>238</v>
      </c>
      <c r="B35" s="297"/>
      <c r="C35" s="299" t="s">
        <v>54</v>
      </c>
      <c r="D35" s="300">
        <v>36537</v>
      </c>
      <c r="E35" s="301" t="s">
        <v>327</v>
      </c>
      <c r="F35" s="302">
        <v>0.19791666666666666</v>
      </c>
      <c r="G35" s="302">
        <v>0.24583333333333335</v>
      </c>
      <c r="H35" s="303">
        <f t="shared" si="10"/>
        <v>0.44375</v>
      </c>
      <c r="I35" s="304"/>
      <c r="J35" s="305">
        <v>8</v>
      </c>
      <c r="K35" s="304">
        <v>794</v>
      </c>
      <c r="L35" s="304">
        <v>18</v>
      </c>
      <c r="M35" s="304">
        <v>4</v>
      </c>
      <c r="N35" s="304">
        <v>4</v>
      </c>
      <c r="O35" s="306">
        <f>K35*1625088/N35/(1024*1024)</f>
        <v>307.63623046875</v>
      </c>
      <c r="P35" s="307">
        <f>O35*126.31/3600</f>
        <v>10.793758964029948</v>
      </c>
      <c r="Q35" s="307">
        <f>O35*62.9/3600</f>
        <v>5.375088582356771</v>
      </c>
      <c r="R35" s="307">
        <f>O35*42.139/3600</f>
        <v>3.6009675321451824</v>
      </c>
      <c r="S35" s="308" t="s">
        <v>389</v>
      </c>
      <c r="T35" s="309" t="s">
        <v>182</v>
      </c>
      <c r="U35" s="310" t="s">
        <v>430</v>
      </c>
      <c r="V35" s="298" t="s">
        <v>43</v>
      </c>
    </row>
    <row r="36" spans="1:22" ht="12.75">
      <c r="A36" s="105" t="s">
        <v>342</v>
      </c>
      <c r="B36" s="40">
        <v>43</v>
      </c>
      <c r="C36" s="106"/>
      <c r="D36" s="107">
        <v>36537</v>
      </c>
      <c r="E36" s="108" t="s">
        <v>327</v>
      </c>
      <c r="F36" s="109">
        <v>0.6666666666666666</v>
      </c>
      <c r="G36" s="109">
        <v>0.3333333333333333</v>
      </c>
      <c r="H36" s="104">
        <f t="shared" si="10"/>
        <v>1</v>
      </c>
      <c r="I36" s="110"/>
      <c r="J36" s="111"/>
      <c r="K36" s="110"/>
      <c r="L36" s="110"/>
      <c r="M36" s="110"/>
      <c r="N36" s="110"/>
      <c r="O36" s="113">
        <f>SUM(O34:O35)</f>
        <v>386.98623046875</v>
      </c>
      <c r="P36" s="113">
        <f>SUM(P34:P35)</f>
        <v>13.577841880696614</v>
      </c>
      <c r="Q36" s="113">
        <f>SUM(Q34:Q35)</f>
        <v>6.761509415690104</v>
      </c>
      <c r="R36" s="113">
        <f>SUM(R34:R35)</f>
        <v>4.529781323811849</v>
      </c>
      <c r="S36" s="114"/>
      <c r="T36" s="124"/>
      <c r="U36" s="115"/>
      <c r="V36" s="116"/>
    </row>
    <row r="37" spans="1:22" ht="76.5">
      <c r="A37" s="298" t="s">
        <v>239</v>
      </c>
      <c r="B37" s="297"/>
      <c r="C37" s="299" t="s">
        <v>54</v>
      </c>
      <c r="D37" s="300">
        <v>36538</v>
      </c>
      <c r="E37" s="301" t="s">
        <v>335</v>
      </c>
      <c r="F37" s="302">
        <v>0.17013888888888887</v>
      </c>
      <c r="G37" s="302">
        <v>0.125</v>
      </c>
      <c r="H37" s="303">
        <f t="shared" si="10"/>
        <v>0.29513888888888884</v>
      </c>
      <c r="I37" s="304"/>
      <c r="J37" s="305">
        <v>12</v>
      </c>
      <c r="K37" s="304">
        <v>288</v>
      </c>
      <c r="L37" s="304">
        <v>29</v>
      </c>
      <c r="M37" s="304">
        <v>0</v>
      </c>
      <c r="N37" s="304">
        <v>2.5</v>
      </c>
      <c r="O37" s="306">
        <f>K37*1625088/N37/(1024*1024)</f>
        <v>178.5375</v>
      </c>
      <c r="P37" s="307">
        <f>O37*126.31/3600</f>
        <v>6.2641865625</v>
      </c>
      <c r="Q37" s="307">
        <f>O37*62.9/3600</f>
        <v>3.119446875</v>
      </c>
      <c r="R37" s="307">
        <f>O37*42.139/3600</f>
        <v>2.08983103125</v>
      </c>
      <c r="S37" s="308" t="s">
        <v>389</v>
      </c>
      <c r="T37" s="309" t="s">
        <v>182</v>
      </c>
      <c r="U37" s="310" t="s">
        <v>40</v>
      </c>
      <c r="V37" s="298" t="s">
        <v>43</v>
      </c>
    </row>
    <row r="38" spans="1:22" ht="38.25">
      <c r="A38" s="5" t="s">
        <v>280</v>
      </c>
      <c r="B38" s="33"/>
      <c r="C38" s="62" t="s">
        <v>54</v>
      </c>
      <c r="D38" s="64">
        <v>36538</v>
      </c>
      <c r="E38" s="74" t="s">
        <v>335</v>
      </c>
      <c r="F38" s="11">
        <v>0.5</v>
      </c>
      <c r="G38" s="11">
        <v>0.24583333333333335</v>
      </c>
      <c r="H38" s="52">
        <f t="shared" si="10"/>
        <v>0.7458333333333333</v>
      </c>
      <c r="I38" s="10"/>
      <c r="J38" s="12">
        <v>12</v>
      </c>
      <c r="K38" s="10">
        <v>104</v>
      </c>
      <c r="L38" s="10">
        <v>25</v>
      </c>
      <c r="M38" s="10" t="s">
        <v>210</v>
      </c>
      <c r="N38" s="10">
        <v>2.5</v>
      </c>
      <c r="O38" s="44">
        <f>K38*1625088/N38/(1024*1024)</f>
        <v>64.471875</v>
      </c>
      <c r="P38" s="49">
        <f>O38*126.31/3600</f>
        <v>2.2620673697916667</v>
      </c>
      <c r="Q38" s="49">
        <f>O38*62.9/3600</f>
        <v>1.1264669270833332</v>
      </c>
      <c r="R38" s="49">
        <f>O38*42.139/3600</f>
        <v>0.7546612057291666</v>
      </c>
      <c r="S38" s="75" t="s">
        <v>389</v>
      </c>
      <c r="T38" s="126" t="s">
        <v>182</v>
      </c>
      <c r="U38" s="30" t="s">
        <v>231</v>
      </c>
      <c r="V38" s="5" t="s">
        <v>43</v>
      </c>
    </row>
    <row r="39" spans="1:22" ht="12.75">
      <c r="A39" s="105" t="s">
        <v>342</v>
      </c>
      <c r="B39" s="40">
        <v>43</v>
      </c>
      <c r="C39" s="106"/>
      <c r="D39" s="107">
        <v>36538</v>
      </c>
      <c r="E39" s="108" t="s">
        <v>335</v>
      </c>
      <c r="F39" s="109">
        <v>0.8055555555555555</v>
      </c>
      <c r="G39" s="109">
        <v>0.2986111111111111</v>
      </c>
      <c r="H39" s="104">
        <f t="shared" si="10"/>
        <v>1.1041666666666665</v>
      </c>
      <c r="I39" s="110"/>
      <c r="J39" s="111"/>
      <c r="K39" s="110"/>
      <c r="L39" s="110"/>
      <c r="M39" s="110"/>
      <c r="N39" s="110"/>
      <c r="O39" s="113">
        <f>SUM(O37:O38)</f>
        <v>243.00937499999998</v>
      </c>
      <c r="P39" s="113">
        <f>SUM(P37:P38)</f>
        <v>8.526253932291667</v>
      </c>
      <c r="Q39" s="113">
        <f>SUM(Q37:Q38)</f>
        <v>4.245913802083333</v>
      </c>
      <c r="R39" s="113">
        <f>SUM(R37:R38)</f>
        <v>2.8444922369791668</v>
      </c>
      <c r="S39" s="114"/>
      <c r="T39" s="124"/>
      <c r="U39" s="115"/>
      <c r="V39" s="116"/>
    </row>
    <row r="40" spans="1:22" ht="38.25">
      <c r="A40" s="13" t="s">
        <v>191</v>
      </c>
      <c r="B40" s="34"/>
      <c r="C40" s="13" t="s">
        <v>357</v>
      </c>
      <c r="D40" s="14">
        <v>36539</v>
      </c>
      <c r="E40" s="76" t="s">
        <v>207</v>
      </c>
      <c r="F40" s="16">
        <v>0.3958333333333333</v>
      </c>
      <c r="G40" s="16">
        <v>0.013888888888888888</v>
      </c>
      <c r="H40" s="51">
        <f t="shared" si="10"/>
        <v>0.4097222222222222</v>
      </c>
      <c r="I40" s="16" t="s">
        <v>294</v>
      </c>
      <c r="J40" s="17">
        <v>12</v>
      </c>
      <c r="K40" s="15">
        <v>8</v>
      </c>
      <c r="L40" s="15" t="s">
        <v>285</v>
      </c>
      <c r="M40" s="15">
        <v>0</v>
      </c>
      <c r="N40" s="15">
        <v>2.5</v>
      </c>
      <c r="O40" s="43">
        <f>2*K40*1625088/N40/(1024*1024)</f>
        <v>9.91875</v>
      </c>
      <c r="P40" s="48">
        <f>O40*126.31/3600</f>
        <v>0.3480103645833333</v>
      </c>
      <c r="Q40" s="48">
        <f>O40*62.9/3600</f>
        <v>0.17330260416666665</v>
      </c>
      <c r="R40" s="48">
        <f>O40*42.139/3600</f>
        <v>0.11610172395833332</v>
      </c>
      <c r="S40" s="76" t="s">
        <v>389</v>
      </c>
      <c r="T40" s="130" t="s">
        <v>182</v>
      </c>
      <c r="U40" s="29" t="s">
        <v>173</v>
      </c>
      <c r="V40" s="13" t="s">
        <v>43</v>
      </c>
    </row>
    <row r="41" spans="1:22" ht="12.75">
      <c r="A41" s="105" t="s">
        <v>342</v>
      </c>
      <c r="B41" s="40">
        <v>43</v>
      </c>
      <c r="C41" s="106"/>
      <c r="D41" s="107">
        <v>36540</v>
      </c>
      <c r="E41" s="108" t="s">
        <v>338</v>
      </c>
      <c r="F41" s="109">
        <v>0.8090277777777778</v>
      </c>
      <c r="G41" s="109">
        <v>0.17708333333333334</v>
      </c>
      <c r="H41" s="104">
        <f t="shared" si="10"/>
        <v>0.9861111111111112</v>
      </c>
      <c r="I41" s="110"/>
      <c r="J41" s="111"/>
      <c r="K41" s="110"/>
      <c r="L41" s="110"/>
      <c r="M41" s="110"/>
      <c r="N41" s="110"/>
      <c r="O41" s="113">
        <f>O40</f>
        <v>9.91875</v>
      </c>
      <c r="P41" s="113">
        <f>P40</f>
        <v>0.3480103645833333</v>
      </c>
      <c r="Q41" s="113">
        <f>Q40</f>
        <v>0.17330260416666665</v>
      </c>
      <c r="R41" s="113">
        <f>R40</f>
        <v>0.11610172395833332</v>
      </c>
      <c r="S41" s="114"/>
      <c r="T41" s="124"/>
      <c r="U41" s="115"/>
      <c r="V41" s="116"/>
    </row>
    <row r="42" spans="1:22" ht="38.25">
      <c r="A42" s="81" t="s">
        <v>192</v>
      </c>
      <c r="B42" s="82"/>
      <c r="C42" s="81" t="s">
        <v>357</v>
      </c>
      <c r="D42" s="83">
        <v>36541</v>
      </c>
      <c r="E42" s="84" t="s">
        <v>332</v>
      </c>
      <c r="F42" s="85">
        <v>0.5833333333333334</v>
      </c>
      <c r="G42" s="16">
        <v>0.013888888888888888</v>
      </c>
      <c r="H42" s="86">
        <f t="shared" si="10"/>
        <v>0.5972222222222222</v>
      </c>
      <c r="I42" s="85" t="s">
        <v>324</v>
      </c>
      <c r="J42" s="87">
        <v>12</v>
      </c>
      <c r="K42" s="88">
        <v>8</v>
      </c>
      <c r="L42" s="15" t="s">
        <v>285</v>
      </c>
      <c r="M42" s="88">
        <v>0</v>
      </c>
      <c r="N42" s="88">
        <v>2.5</v>
      </c>
      <c r="O42" s="89">
        <f>K42*1625088/N42/(1024*1024)</f>
        <v>4.959375</v>
      </c>
      <c r="P42" s="90">
        <f>O42*126.31/3600</f>
        <v>0.17400518229166664</v>
      </c>
      <c r="Q42" s="90">
        <f>O42*62.9/3600</f>
        <v>0.08665130208333333</v>
      </c>
      <c r="R42" s="90">
        <f>O42*42.139/3600</f>
        <v>0.05805086197916666</v>
      </c>
      <c r="S42" s="84" t="s">
        <v>389</v>
      </c>
      <c r="T42" s="130" t="s">
        <v>182</v>
      </c>
      <c r="U42" s="91" t="s">
        <v>174</v>
      </c>
      <c r="V42" s="81" t="s">
        <v>43</v>
      </c>
    </row>
    <row r="43" spans="1:22" ht="13.5" thickBot="1">
      <c r="A43" s="152" t="s">
        <v>342</v>
      </c>
      <c r="B43" s="134">
        <v>43</v>
      </c>
      <c r="C43" s="135"/>
      <c r="D43" s="136">
        <v>36542</v>
      </c>
      <c r="E43" s="137" t="s">
        <v>339</v>
      </c>
      <c r="F43" s="138">
        <v>0.7291666666666666</v>
      </c>
      <c r="G43" s="138">
        <v>0.13541666666666666</v>
      </c>
      <c r="H43" s="139">
        <f t="shared" si="10"/>
        <v>0.8645833333333333</v>
      </c>
      <c r="I43" s="132"/>
      <c r="J43" s="140"/>
      <c r="K43" s="132"/>
      <c r="L43" s="132"/>
      <c r="M43" s="132"/>
      <c r="N43" s="132"/>
      <c r="O43" s="133">
        <f>O42</f>
        <v>4.959375</v>
      </c>
      <c r="P43" s="133">
        <f>P42</f>
        <v>0.17400518229166664</v>
      </c>
      <c r="Q43" s="133">
        <f>Q42</f>
        <v>0.08665130208333333</v>
      </c>
      <c r="R43" s="133">
        <f>R42</f>
        <v>0.05805086197916666</v>
      </c>
      <c r="S43" s="137"/>
      <c r="T43" s="137"/>
      <c r="U43" s="135"/>
      <c r="V43" s="135"/>
    </row>
    <row r="44" spans="1:22" ht="25.5">
      <c r="A44" s="92" t="s">
        <v>109</v>
      </c>
      <c r="B44" s="142"/>
      <c r="C44" s="92" t="s">
        <v>54</v>
      </c>
      <c r="D44" s="143">
        <v>36543</v>
      </c>
      <c r="E44" s="144" t="s">
        <v>297</v>
      </c>
      <c r="F44" s="145">
        <v>0.375</v>
      </c>
      <c r="G44" s="145">
        <v>0.24583333333333335</v>
      </c>
      <c r="H44" s="146">
        <f t="shared" si="10"/>
        <v>0.6208333333333333</v>
      </c>
      <c r="I44" s="147"/>
      <c r="J44" s="148">
        <v>12</v>
      </c>
      <c r="K44" s="147">
        <v>104</v>
      </c>
      <c r="L44" s="147">
        <v>25</v>
      </c>
      <c r="M44" s="147" t="s">
        <v>210</v>
      </c>
      <c r="N44" s="147">
        <v>2.5</v>
      </c>
      <c r="O44" s="149">
        <f>K44*1625088/N44/(1024*1024)</f>
        <v>64.471875</v>
      </c>
      <c r="P44" s="150">
        <f>O44*126.31/3600</f>
        <v>2.2620673697916667</v>
      </c>
      <c r="Q44" s="150">
        <f>O44*62.9/3600</f>
        <v>1.1264669270833332</v>
      </c>
      <c r="R44" s="150">
        <f>O44*42.139/3600</f>
        <v>0.7546612057291666</v>
      </c>
      <c r="S44" s="144" t="s">
        <v>390</v>
      </c>
      <c r="T44" s="129" t="s">
        <v>182</v>
      </c>
      <c r="U44" s="151" t="s">
        <v>110</v>
      </c>
      <c r="V44" s="92" t="s">
        <v>43</v>
      </c>
    </row>
    <row r="45" spans="1:22" ht="12.75">
      <c r="A45" s="105" t="s">
        <v>342</v>
      </c>
      <c r="B45" s="40">
        <v>43</v>
      </c>
      <c r="C45" s="116"/>
      <c r="D45" s="141">
        <v>36543</v>
      </c>
      <c r="E45" s="114" t="s">
        <v>297</v>
      </c>
      <c r="F45" s="109">
        <v>0.6666666666666666</v>
      </c>
      <c r="G45" s="109">
        <v>0.3333333333333333</v>
      </c>
      <c r="H45" s="104">
        <f t="shared" si="10"/>
        <v>1</v>
      </c>
      <c r="I45" s="110"/>
      <c r="J45" s="111"/>
      <c r="K45" s="110"/>
      <c r="L45" s="110"/>
      <c r="M45" s="110"/>
      <c r="N45" s="110"/>
      <c r="O45" s="113">
        <f>SUM(O44:O44)</f>
        <v>64.471875</v>
      </c>
      <c r="P45" s="113">
        <f>SUM(P44:P44)</f>
        <v>2.2620673697916667</v>
      </c>
      <c r="Q45" s="113">
        <f>SUM(Q44:Q44)</f>
        <v>1.1264669270833332</v>
      </c>
      <c r="R45" s="113">
        <f>SUM(R44:R44)</f>
        <v>0.7546612057291666</v>
      </c>
      <c r="S45" s="114"/>
      <c r="T45" s="124"/>
      <c r="U45" s="115"/>
      <c r="V45" s="116"/>
    </row>
    <row r="46" spans="1:22" ht="38.25">
      <c r="A46" s="54" t="s">
        <v>350</v>
      </c>
      <c r="B46" s="55"/>
      <c r="C46" s="54" t="s">
        <v>357</v>
      </c>
      <c r="D46" s="80">
        <v>36544</v>
      </c>
      <c r="E46" s="77" t="s">
        <v>337</v>
      </c>
      <c r="F46" s="57">
        <v>0.10416666666666667</v>
      </c>
      <c r="G46" s="16">
        <v>0.013888888888888888</v>
      </c>
      <c r="H46" s="58">
        <f t="shared" si="10"/>
        <v>0.11805555555555555</v>
      </c>
      <c r="I46" s="57" t="s">
        <v>324</v>
      </c>
      <c r="J46" s="59">
        <v>12</v>
      </c>
      <c r="K46" s="56">
        <v>8</v>
      </c>
      <c r="L46" s="15" t="s">
        <v>285</v>
      </c>
      <c r="M46" s="56">
        <v>0</v>
      </c>
      <c r="N46" s="56">
        <v>2.5</v>
      </c>
      <c r="O46" s="79">
        <f>K46*1625088/N46/(1024*1024)</f>
        <v>4.959375</v>
      </c>
      <c r="P46" s="60">
        <f>O46*126.31/3600</f>
        <v>0.17400518229166664</v>
      </c>
      <c r="Q46" s="60">
        <f>O46*62.9/3600</f>
        <v>0.08665130208333333</v>
      </c>
      <c r="R46" s="60">
        <f>O46*42.139/3600</f>
        <v>0.05805086197916666</v>
      </c>
      <c r="S46" s="77" t="s">
        <v>390</v>
      </c>
      <c r="T46" s="130" t="s">
        <v>182</v>
      </c>
      <c r="U46" s="61" t="s">
        <v>140</v>
      </c>
      <c r="V46" s="54" t="s">
        <v>43</v>
      </c>
    </row>
    <row r="47" spans="1:22" ht="25.5">
      <c r="A47" s="286" t="s">
        <v>189</v>
      </c>
      <c r="B47" s="35"/>
      <c r="C47" s="286" t="s">
        <v>364</v>
      </c>
      <c r="D47" s="287">
        <v>36544</v>
      </c>
      <c r="E47" s="288" t="s">
        <v>337</v>
      </c>
      <c r="F47" s="289">
        <v>0.4166666666666667</v>
      </c>
      <c r="G47" s="289"/>
      <c r="H47" s="290"/>
      <c r="I47" s="291"/>
      <c r="J47" s="292"/>
      <c r="K47" s="291"/>
      <c r="L47" s="291"/>
      <c r="M47" s="291"/>
      <c r="N47" s="291"/>
      <c r="O47" s="293"/>
      <c r="P47" s="294"/>
      <c r="Q47" s="294"/>
      <c r="R47" s="294"/>
      <c r="S47" s="288"/>
      <c r="T47" s="295"/>
      <c r="U47" s="296"/>
      <c r="V47" s="311" t="s">
        <v>43</v>
      </c>
    </row>
    <row r="48" spans="1:22" ht="12.75">
      <c r="A48" s="286"/>
      <c r="B48" s="35"/>
      <c r="C48" s="286" t="s">
        <v>364</v>
      </c>
      <c r="D48" s="287">
        <v>36544</v>
      </c>
      <c r="E48" s="288" t="s">
        <v>337</v>
      </c>
      <c r="F48" s="289">
        <v>0.42291666666666666</v>
      </c>
      <c r="G48" s="289">
        <v>0.009722222222222222</v>
      </c>
      <c r="H48" s="290">
        <f aca="true" t="shared" si="11" ref="H48:H60">SUM(F48:G48)</f>
        <v>0.4326388888888889</v>
      </c>
      <c r="I48" s="291"/>
      <c r="J48" s="292"/>
      <c r="K48" s="291">
        <f>3*5+3+1</f>
        <v>19</v>
      </c>
      <c r="L48" s="291"/>
      <c r="M48" s="291"/>
      <c r="N48" s="291"/>
      <c r="O48" s="293">
        <f aca="true" t="shared" si="12" ref="O48:O60">K48*2864/2.5/1000000</f>
        <v>0.0217664</v>
      </c>
      <c r="P48" s="294">
        <f aca="true" t="shared" si="13" ref="P48:P60">O48*126.31/3600</f>
        <v>0.000763698328888889</v>
      </c>
      <c r="Q48" s="294">
        <f aca="true" t="shared" si="14" ref="Q48:Q60">P48*62.9/3600</f>
        <v>1.3343506913086423E-05</v>
      </c>
      <c r="R48" s="294">
        <f aca="true" t="shared" si="15" ref="R48:R60">Q48*42.139/3600</f>
        <v>1.5618945494737467E-07</v>
      </c>
      <c r="S48" s="288" t="s">
        <v>390</v>
      </c>
      <c r="T48" s="295" t="s">
        <v>183</v>
      </c>
      <c r="U48" s="296" t="s">
        <v>176</v>
      </c>
      <c r="V48" s="311" t="s">
        <v>43</v>
      </c>
    </row>
    <row r="49" spans="1:22" ht="12.75">
      <c r="A49" s="286"/>
      <c r="B49" s="35"/>
      <c r="C49" s="286" t="s">
        <v>364</v>
      </c>
      <c r="D49" s="287">
        <v>36544</v>
      </c>
      <c r="E49" s="288" t="s">
        <v>337</v>
      </c>
      <c r="F49" s="289">
        <v>0.43402777777777773</v>
      </c>
      <c r="G49" s="289">
        <v>0.3125</v>
      </c>
      <c r="H49" s="290">
        <f t="shared" si="11"/>
        <v>0.7465277777777777</v>
      </c>
      <c r="I49" s="291"/>
      <c r="J49" s="292"/>
      <c r="K49" s="291">
        <f>(71*7+71)*3+3</f>
        <v>1707</v>
      </c>
      <c r="L49" s="291"/>
      <c r="M49" s="291"/>
      <c r="N49" s="291"/>
      <c r="O49" s="293">
        <f t="shared" si="12"/>
        <v>1.9555392</v>
      </c>
      <c r="P49" s="294">
        <f t="shared" si="13"/>
        <v>0.06861226565333334</v>
      </c>
      <c r="Q49" s="294">
        <f t="shared" si="14"/>
        <v>0.0011988087526651854</v>
      </c>
      <c r="R49" s="294">
        <f t="shared" si="15"/>
        <v>1.4032389452377291E-05</v>
      </c>
      <c r="S49" s="288" t="s">
        <v>390</v>
      </c>
      <c r="T49" s="295" t="s">
        <v>183</v>
      </c>
      <c r="U49" s="296" t="s">
        <v>312</v>
      </c>
      <c r="V49" s="311" t="s">
        <v>43</v>
      </c>
    </row>
    <row r="50" spans="1:22" ht="12.75">
      <c r="A50" s="286"/>
      <c r="B50" s="35"/>
      <c r="C50" s="286" t="s">
        <v>364</v>
      </c>
      <c r="D50" s="287">
        <v>36544</v>
      </c>
      <c r="E50" s="288" t="s">
        <v>337</v>
      </c>
      <c r="F50" s="289">
        <v>0.7493055555555556</v>
      </c>
      <c r="G50" s="289">
        <v>0.010416666666666666</v>
      </c>
      <c r="H50" s="290">
        <f t="shared" si="11"/>
        <v>0.7597222222222222</v>
      </c>
      <c r="I50" s="291"/>
      <c r="J50" s="292"/>
      <c r="K50" s="291">
        <f>5*6+5+1</f>
        <v>36</v>
      </c>
      <c r="L50" s="291"/>
      <c r="M50" s="291"/>
      <c r="N50" s="291"/>
      <c r="O50" s="293">
        <f t="shared" si="12"/>
        <v>0.041241599999999996</v>
      </c>
      <c r="P50" s="294">
        <f t="shared" si="13"/>
        <v>0.0014470073599999998</v>
      </c>
      <c r="Q50" s="294">
        <f t="shared" si="14"/>
        <v>2.5282434151111108E-05</v>
      </c>
      <c r="R50" s="294">
        <f t="shared" si="15"/>
        <v>2.9593791463713087E-07</v>
      </c>
      <c r="S50" s="288" t="s">
        <v>390</v>
      </c>
      <c r="T50" s="295" t="s">
        <v>183</v>
      </c>
      <c r="U50" s="296" t="s">
        <v>313</v>
      </c>
      <c r="V50" s="311" t="s">
        <v>43</v>
      </c>
    </row>
    <row r="51" spans="1:22" ht="12.75">
      <c r="A51" s="286"/>
      <c r="B51" s="35"/>
      <c r="C51" s="286" t="s">
        <v>364</v>
      </c>
      <c r="D51" s="287">
        <v>36544</v>
      </c>
      <c r="E51" s="288" t="s">
        <v>337</v>
      </c>
      <c r="F51" s="289">
        <v>0.7638888888888888</v>
      </c>
      <c r="G51" s="289">
        <v>0.15972222222222224</v>
      </c>
      <c r="H51" s="290">
        <f t="shared" si="11"/>
        <v>0.923611111111111</v>
      </c>
      <c r="I51" s="291"/>
      <c r="J51" s="292"/>
      <c r="K51" s="291">
        <f>(42*9+42)*2+2</f>
        <v>842</v>
      </c>
      <c r="L51" s="291"/>
      <c r="M51" s="291"/>
      <c r="N51" s="291"/>
      <c r="O51" s="293">
        <f t="shared" si="12"/>
        <v>0.9645952</v>
      </c>
      <c r="P51" s="294">
        <f t="shared" si="13"/>
        <v>0.033843894364444446</v>
      </c>
      <c r="Q51" s="294">
        <f t="shared" si="14"/>
        <v>0.0005913280432009877</v>
      </c>
      <c r="R51" s="294">
        <f t="shared" si="15"/>
        <v>6.92165900345734E-06</v>
      </c>
      <c r="S51" s="288" t="s">
        <v>390</v>
      </c>
      <c r="T51" s="295" t="s">
        <v>183</v>
      </c>
      <c r="U51" s="296" t="s">
        <v>314</v>
      </c>
      <c r="V51" s="311" t="s">
        <v>43</v>
      </c>
    </row>
    <row r="52" spans="1:22" ht="12.75">
      <c r="A52" s="286"/>
      <c r="B52" s="35"/>
      <c r="C52" s="286" t="s">
        <v>364</v>
      </c>
      <c r="D52" s="287">
        <v>36544</v>
      </c>
      <c r="E52" s="288" t="s">
        <v>337</v>
      </c>
      <c r="F52" s="289">
        <v>0.9270833333333334</v>
      </c>
      <c r="G52" s="289">
        <v>0.034722222222222224</v>
      </c>
      <c r="H52" s="290">
        <f t="shared" si="11"/>
        <v>0.9618055555555556</v>
      </c>
      <c r="I52" s="291"/>
      <c r="J52" s="292"/>
      <c r="K52" s="291">
        <f>(2*7*3)+3+80*7+14+160*7+14</f>
        <v>1753</v>
      </c>
      <c r="L52" s="291"/>
      <c r="M52" s="291"/>
      <c r="N52" s="291"/>
      <c r="O52" s="293">
        <f t="shared" si="12"/>
        <v>2.0082368</v>
      </c>
      <c r="P52" s="294">
        <f t="shared" si="13"/>
        <v>0.07046121950222223</v>
      </c>
      <c r="Q52" s="294">
        <f t="shared" si="14"/>
        <v>0.001231114085191605</v>
      </c>
      <c r="R52" s="294">
        <f t="shared" si="15"/>
        <v>1.4410532343302514E-05</v>
      </c>
      <c r="S52" s="288" t="s">
        <v>390</v>
      </c>
      <c r="T52" s="295" t="s">
        <v>183</v>
      </c>
      <c r="U52" s="296" t="s">
        <v>315</v>
      </c>
      <c r="V52" s="311" t="s">
        <v>43</v>
      </c>
    </row>
    <row r="53" spans="1:22" ht="12.75">
      <c r="A53" s="286"/>
      <c r="B53" s="35"/>
      <c r="C53" s="286" t="s">
        <v>364</v>
      </c>
      <c r="D53" s="287">
        <v>36544</v>
      </c>
      <c r="E53" s="288" t="s">
        <v>337</v>
      </c>
      <c r="F53" s="289">
        <v>0.9805555555555556</v>
      </c>
      <c r="G53" s="289">
        <v>0.1909722222222222</v>
      </c>
      <c r="H53" s="290">
        <f>SUM(F53:G53)</f>
        <v>1.171527777777778</v>
      </c>
      <c r="I53" s="291"/>
      <c r="J53" s="292"/>
      <c r="K53" s="291">
        <f>7*6+6+1</f>
        <v>49</v>
      </c>
      <c r="L53" s="291"/>
      <c r="M53" s="291"/>
      <c r="N53" s="291"/>
      <c r="O53" s="293">
        <f>K53*2864/2.5/1000000</f>
        <v>0.0561344</v>
      </c>
      <c r="P53" s="294">
        <f>O53*126.31/3600</f>
        <v>0.001969537795555556</v>
      </c>
      <c r="Q53" s="294">
        <f>P53*62.9/3600</f>
        <v>3.4412202039012346E-05</v>
      </c>
      <c r="R53" s="294">
        <f>Q53*42.139/3600</f>
        <v>4.0280438381165037E-07</v>
      </c>
      <c r="S53" s="288" t="s">
        <v>390</v>
      </c>
      <c r="T53" s="295" t="s">
        <v>183</v>
      </c>
      <c r="U53" s="296" t="s">
        <v>317</v>
      </c>
      <c r="V53" s="311" t="s">
        <v>43</v>
      </c>
    </row>
    <row r="54" spans="1:22" ht="12.75">
      <c r="A54" s="286"/>
      <c r="B54" s="35"/>
      <c r="C54" s="286" t="s">
        <v>364</v>
      </c>
      <c r="D54" s="287">
        <v>36545</v>
      </c>
      <c r="E54" s="288" t="s">
        <v>333</v>
      </c>
      <c r="F54" s="289">
        <v>0.09027777777777778</v>
      </c>
      <c r="G54" s="289">
        <v>0.010416666666666666</v>
      </c>
      <c r="H54" s="290">
        <f t="shared" si="11"/>
        <v>0.10069444444444445</v>
      </c>
      <c r="I54" s="291"/>
      <c r="J54" s="292"/>
      <c r="K54" s="291">
        <f>1053+1080-313</f>
        <v>1820</v>
      </c>
      <c r="L54" s="291"/>
      <c r="M54" s="291"/>
      <c r="N54" s="291"/>
      <c r="O54" s="293">
        <f t="shared" si="12"/>
        <v>2.084992</v>
      </c>
      <c r="P54" s="294">
        <f t="shared" si="13"/>
        <v>0.07315426097777779</v>
      </c>
      <c r="Q54" s="294">
        <f t="shared" si="14"/>
        <v>0.001278167504306173</v>
      </c>
      <c r="R54" s="294">
        <f t="shared" si="15"/>
        <v>1.496130568443273E-05</v>
      </c>
      <c r="S54" s="288" t="s">
        <v>390</v>
      </c>
      <c r="T54" s="295" t="s">
        <v>183</v>
      </c>
      <c r="U54" s="296" t="s">
        <v>316</v>
      </c>
      <c r="V54" s="311" t="s">
        <v>43</v>
      </c>
    </row>
    <row r="55" spans="1:22" ht="12.75">
      <c r="A55" s="286"/>
      <c r="B55" s="35"/>
      <c r="C55" s="286" t="s">
        <v>364</v>
      </c>
      <c r="D55" s="287">
        <v>36545</v>
      </c>
      <c r="E55" s="288" t="s">
        <v>333</v>
      </c>
      <c r="F55" s="289">
        <v>0.10416666666666667</v>
      </c>
      <c r="G55" s="289">
        <v>0.020833333333333332</v>
      </c>
      <c r="H55" s="290">
        <f t="shared" si="11"/>
        <v>0.125</v>
      </c>
      <c r="I55" s="291"/>
      <c r="J55" s="292"/>
      <c r="K55" s="291">
        <f>10*8+8+2</f>
        <v>90</v>
      </c>
      <c r="L55" s="291"/>
      <c r="M55" s="291"/>
      <c r="N55" s="291"/>
      <c r="O55" s="293">
        <f t="shared" si="12"/>
        <v>0.103104</v>
      </c>
      <c r="P55" s="294">
        <f t="shared" si="13"/>
        <v>0.0036175184000000003</v>
      </c>
      <c r="Q55" s="294">
        <f t="shared" si="14"/>
        <v>6.320608537777778E-05</v>
      </c>
      <c r="R55" s="294">
        <f t="shared" si="15"/>
        <v>7.398447865928273E-07</v>
      </c>
      <c r="S55" s="288" t="s">
        <v>390</v>
      </c>
      <c r="T55" s="295" t="s">
        <v>183</v>
      </c>
      <c r="U55" s="296" t="s">
        <v>343</v>
      </c>
      <c r="V55" s="311" t="s">
        <v>43</v>
      </c>
    </row>
    <row r="56" spans="1:22" ht="12.75">
      <c r="A56" s="286"/>
      <c r="B56" s="35"/>
      <c r="C56" s="286" t="s">
        <v>364</v>
      </c>
      <c r="D56" s="287">
        <v>36545</v>
      </c>
      <c r="E56" s="288" t="s">
        <v>333</v>
      </c>
      <c r="F56" s="289">
        <v>0.12638888888888888</v>
      </c>
      <c r="G56" s="289">
        <v>0.041666666666666664</v>
      </c>
      <c r="H56" s="290">
        <f t="shared" si="11"/>
        <v>0.16805555555555554</v>
      </c>
      <c r="I56" s="291"/>
      <c r="J56" s="292"/>
      <c r="K56" s="291">
        <f>10*5*8</f>
        <v>400</v>
      </c>
      <c r="L56" s="291"/>
      <c r="M56" s="291"/>
      <c r="N56" s="291"/>
      <c r="O56" s="293">
        <f t="shared" si="12"/>
        <v>0.45824</v>
      </c>
      <c r="P56" s="294">
        <f t="shared" si="13"/>
        <v>0.016077859555555556</v>
      </c>
      <c r="Q56" s="294">
        <f t="shared" si="14"/>
        <v>0.00028091593501234567</v>
      </c>
      <c r="R56" s="294">
        <f t="shared" si="15"/>
        <v>3.288199051523676E-06</v>
      </c>
      <c r="S56" s="288" t="s">
        <v>390</v>
      </c>
      <c r="T56" s="295" t="s">
        <v>183</v>
      </c>
      <c r="U56" s="296" t="s">
        <v>344</v>
      </c>
      <c r="V56" s="311" t="s">
        <v>43</v>
      </c>
    </row>
    <row r="57" spans="1:22" ht="12.75">
      <c r="A57" s="286"/>
      <c r="B57" s="35"/>
      <c r="C57" s="286" t="s">
        <v>364</v>
      </c>
      <c r="D57" s="287">
        <v>36545</v>
      </c>
      <c r="E57" s="288" t="s">
        <v>333</v>
      </c>
      <c r="F57" s="289">
        <v>0.20486111111111113</v>
      </c>
      <c r="G57" s="289">
        <v>0.10972222222222222</v>
      </c>
      <c r="H57" s="290">
        <f t="shared" si="11"/>
        <v>0.3145833333333333</v>
      </c>
      <c r="I57" s="291"/>
      <c r="J57" s="292"/>
      <c r="K57" s="291">
        <f>(11*6+6)*2+(5*3+3)+(11*6+6)*2+(5*3+3)+(13*6+6)*2+8</f>
        <v>500</v>
      </c>
      <c r="L57" s="291"/>
      <c r="M57" s="291"/>
      <c r="N57" s="291"/>
      <c r="O57" s="293">
        <f t="shared" si="12"/>
        <v>0.5728</v>
      </c>
      <c r="P57" s="294">
        <f t="shared" si="13"/>
        <v>0.020097324444444446</v>
      </c>
      <c r="Q57" s="294">
        <f t="shared" si="14"/>
        <v>0.0003511449187654321</v>
      </c>
      <c r="R57" s="294">
        <f t="shared" si="15"/>
        <v>4.110248814404596E-06</v>
      </c>
      <c r="S57" s="288" t="s">
        <v>390</v>
      </c>
      <c r="T57" s="295" t="s">
        <v>183</v>
      </c>
      <c r="U57" s="296" t="s">
        <v>345</v>
      </c>
      <c r="V57" s="311" t="s">
        <v>43</v>
      </c>
    </row>
    <row r="58" spans="1:22" ht="12.75">
      <c r="A58" s="286"/>
      <c r="B58" s="35"/>
      <c r="C58" s="286" t="s">
        <v>364</v>
      </c>
      <c r="D58" s="287">
        <v>36545</v>
      </c>
      <c r="E58" s="288" t="s">
        <v>333</v>
      </c>
      <c r="F58" s="289">
        <v>0.33055555555555555</v>
      </c>
      <c r="G58" s="289">
        <v>0.03819444444444444</v>
      </c>
      <c r="H58" s="290">
        <f t="shared" si="11"/>
        <v>0.36874999999999997</v>
      </c>
      <c r="I58" s="291"/>
      <c r="J58" s="292"/>
      <c r="K58" s="291">
        <f>(5*3+3)*12+12</f>
        <v>228</v>
      </c>
      <c r="L58" s="291"/>
      <c r="M58" s="291"/>
      <c r="N58" s="291"/>
      <c r="O58" s="293">
        <f t="shared" si="12"/>
        <v>0.2611968</v>
      </c>
      <c r="P58" s="294">
        <f t="shared" si="13"/>
        <v>0.009164379946666665</v>
      </c>
      <c r="Q58" s="294">
        <f t="shared" si="14"/>
        <v>0.00016012208295703703</v>
      </c>
      <c r="R58" s="294">
        <f t="shared" si="15"/>
        <v>1.8742734593684955E-06</v>
      </c>
      <c r="S58" s="288" t="s">
        <v>390</v>
      </c>
      <c r="T58" s="295" t="s">
        <v>183</v>
      </c>
      <c r="U58" s="296" t="s">
        <v>346</v>
      </c>
      <c r="V58" s="311" t="s">
        <v>43</v>
      </c>
    </row>
    <row r="59" spans="1:22" ht="12.75">
      <c r="A59" s="286"/>
      <c r="B59" s="35"/>
      <c r="C59" s="286" t="s">
        <v>364</v>
      </c>
      <c r="D59" s="287">
        <v>36545</v>
      </c>
      <c r="E59" s="288" t="s">
        <v>333</v>
      </c>
      <c r="F59" s="289">
        <v>0.37152777777777773</v>
      </c>
      <c r="G59" s="289">
        <v>0.06388888888888888</v>
      </c>
      <c r="H59" s="290">
        <f t="shared" si="11"/>
        <v>0.4354166666666666</v>
      </c>
      <c r="I59" s="291"/>
      <c r="J59" s="292"/>
      <c r="K59" s="291">
        <f>(9*16+16)+(15*16+16)+6</f>
        <v>422</v>
      </c>
      <c r="L59" s="291"/>
      <c r="M59" s="291"/>
      <c r="N59" s="291"/>
      <c r="O59" s="293">
        <f t="shared" si="12"/>
        <v>0.4834432</v>
      </c>
      <c r="P59" s="294">
        <f t="shared" si="13"/>
        <v>0.016962141831111114</v>
      </c>
      <c r="Q59" s="294">
        <f t="shared" si="14"/>
        <v>0.0002963663114380248</v>
      </c>
      <c r="R59" s="294">
        <f t="shared" si="15"/>
        <v>3.46904999935748E-06</v>
      </c>
      <c r="S59" s="288" t="s">
        <v>390</v>
      </c>
      <c r="T59" s="295" t="s">
        <v>183</v>
      </c>
      <c r="U59" s="296" t="s">
        <v>347</v>
      </c>
      <c r="V59" s="311" t="s">
        <v>43</v>
      </c>
    </row>
    <row r="60" spans="1:22" ht="12.75">
      <c r="A60" s="286"/>
      <c r="B60" s="35"/>
      <c r="C60" s="286" t="s">
        <v>364</v>
      </c>
      <c r="D60" s="287">
        <v>36545</v>
      </c>
      <c r="E60" s="288" t="s">
        <v>333</v>
      </c>
      <c r="F60" s="289">
        <v>0.4618055555555556</v>
      </c>
      <c r="G60" s="289">
        <v>0.03333333333333333</v>
      </c>
      <c r="H60" s="290">
        <f t="shared" si="11"/>
        <v>0.4951388888888889</v>
      </c>
      <c r="I60" s="291"/>
      <c r="J60" s="292"/>
      <c r="K60" s="291">
        <f>(13*6+6)+(19*4+4)+2</f>
        <v>166</v>
      </c>
      <c r="L60" s="291"/>
      <c r="M60" s="291"/>
      <c r="N60" s="291"/>
      <c r="O60" s="293">
        <f t="shared" si="12"/>
        <v>0.1901696</v>
      </c>
      <c r="P60" s="294">
        <f t="shared" si="13"/>
        <v>0.006672311715555556</v>
      </c>
      <c r="Q60" s="294">
        <f t="shared" si="14"/>
        <v>0.00011658011303012345</v>
      </c>
      <c r="R60" s="294">
        <f t="shared" si="15"/>
        <v>1.3646026063823256E-06</v>
      </c>
      <c r="S60" s="288" t="s">
        <v>390</v>
      </c>
      <c r="T60" s="295" t="s">
        <v>183</v>
      </c>
      <c r="U60" s="296" t="s">
        <v>374</v>
      </c>
      <c r="V60" s="311" t="s">
        <v>43</v>
      </c>
    </row>
    <row r="61" spans="1:22" ht="25.5">
      <c r="A61" s="286" t="s">
        <v>277</v>
      </c>
      <c r="B61" s="35"/>
      <c r="C61" s="286" t="s">
        <v>364</v>
      </c>
      <c r="D61" s="287">
        <v>36545</v>
      </c>
      <c r="E61" s="288" t="s">
        <v>333</v>
      </c>
      <c r="F61" s="289">
        <v>0.49583333333333335</v>
      </c>
      <c r="G61" s="289"/>
      <c r="H61" s="290"/>
      <c r="I61" s="291"/>
      <c r="J61" s="292"/>
      <c r="K61" s="291"/>
      <c r="L61" s="291"/>
      <c r="M61" s="291"/>
      <c r="N61" s="291"/>
      <c r="O61" s="293"/>
      <c r="P61" s="294"/>
      <c r="Q61" s="294"/>
      <c r="R61" s="294"/>
      <c r="S61" s="288"/>
      <c r="T61" s="295"/>
      <c r="U61" s="296"/>
      <c r="V61" s="311" t="s">
        <v>43</v>
      </c>
    </row>
    <row r="62" spans="1:22" ht="12.75">
      <c r="A62" s="370" t="s">
        <v>342</v>
      </c>
      <c r="B62" s="371">
        <v>14</v>
      </c>
      <c r="C62" s="372"/>
      <c r="D62" s="373">
        <v>36545</v>
      </c>
      <c r="E62" s="368" t="s">
        <v>333</v>
      </c>
      <c r="F62" s="374">
        <v>0.5277777777777778</v>
      </c>
      <c r="G62" s="374">
        <v>0.08333333333333333</v>
      </c>
      <c r="H62" s="375">
        <f aca="true" t="shared" si="16" ref="H62:H79">SUM(F62:G62)</f>
        <v>0.6111111111111112</v>
      </c>
      <c r="I62" s="376"/>
      <c r="J62" s="377"/>
      <c r="K62" s="378"/>
      <c r="L62" s="376"/>
      <c r="M62" s="376"/>
      <c r="N62" s="376"/>
      <c r="O62" s="379">
        <f>SUM(O46:O61)</f>
        <v>14.1608342</v>
      </c>
      <c r="P62" s="379">
        <f>SUM(P46:P61)</f>
        <v>0.49684860216722226</v>
      </c>
      <c r="Q62" s="379">
        <f>SUM(Q46:Q61)</f>
        <v>0.09229209405838124</v>
      </c>
      <c r="R62" s="379">
        <f>SUM(R46:R61)</f>
        <v>0.05811688901612125</v>
      </c>
      <c r="S62" s="368"/>
      <c r="T62" s="380"/>
      <c r="U62" s="381" t="s">
        <v>187</v>
      </c>
      <c r="V62" s="372"/>
    </row>
    <row r="63" ht="12.75"/>
    <row r="64" ht="12.75"/>
    <row r="65" spans="1:22" ht="38.25">
      <c r="A65" s="299" t="s">
        <v>46</v>
      </c>
      <c r="B65" s="347"/>
      <c r="C65" s="299" t="s">
        <v>47</v>
      </c>
      <c r="D65" s="300">
        <v>36546</v>
      </c>
      <c r="E65" s="348">
        <v>21</v>
      </c>
      <c r="F65" s="349">
        <v>0.9479166666666666</v>
      </c>
      <c r="G65" s="349">
        <v>0.003472222222222222</v>
      </c>
      <c r="H65" s="350">
        <f t="shared" si="16"/>
        <v>0.9513888888888888</v>
      </c>
      <c r="I65" s="349"/>
      <c r="J65" s="351">
        <v>12</v>
      </c>
      <c r="K65" s="348">
        <v>16</v>
      </c>
      <c r="L65" s="348">
        <v>17</v>
      </c>
      <c r="M65" s="348">
        <v>7</v>
      </c>
      <c r="N65" s="348">
        <v>2.5</v>
      </c>
      <c r="O65" s="352">
        <f>K65*1625088/N65/(1024*1024)</f>
        <v>9.91875</v>
      </c>
      <c r="P65" s="353">
        <f>O65*126.31/3600</f>
        <v>0.3480103645833333</v>
      </c>
      <c r="Q65" s="353">
        <f>O65*62.9/3600</f>
        <v>0.17330260416666665</v>
      </c>
      <c r="R65" s="353">
        <f>O65*42.139/3600</f>
        <v>0.11610172395833332</v>
      </c>
      <c r="S65" s="369" t="s">
        <v>390</v>
      </c>
      <c r="T65" s="354" t="s">
        <v>180</v>
      </c>
      <c r="U65" s="355" t="s">
        <v>48</v>
      </c>
      <c r="V65" s="299" t="s">
        <v>43</v>
      </c>
    </row>
    <row r="66" spans="1:22" ht="12.75">
      <c r="A66" s="105" t="s">
        <v>342</v>
      </c>
      <c r="B66" s="40">
        <v>43</v>
      </c>
      <c r="C66" s="116"/>
      <c r="D66" s="141">
        <v>36546</v>
      </c>
      <c r="E66" s="114" t="s">
        <v>340</v>
      </c>
      <c r="F66" s="109">
        <v>0.8611111111111112</v>
      </c>
      <c r="G66" s="109">
        <v>0.22916666666666666</v>
      </c>
      <c r="H66" s="104">
        <f t="shared" si="16"/>
        <v>1.090277777777778</v>
      </c>
      <c r="I66" s="110"/>
      <c r="J66" s="111"/>
      <c r="K66" s="110"/>
      <c r="L66" s="110"/>
      <c r="M66" s="110"/>
      <c r="N66" s="110"/>
      <c r="O66" s="113">
        <f>O65</f>
        <v>9.91875</v>
      </c>
      <c r="P66" s="113">
        <f>P65</f>
        <v>0.3480103645833333</v>
      </c>
      <c r="Q66" s="113">
        <f>Q65</f>
        <v>0.17330260416666665</v>
      </c>
      <c r="R66" s="113">
        <f>R65</f>
        <v>0.11610172395833332</v>
      </c>
      <c r="S66" s="114"/>
      <c r="T66" s="114"/>
      <c r="U66" s="116"/>
      <c r="V66" s="116"/>
    </row>
    <row r="67" spans="1:22" ht="38.25">
      <c r="A67" s="13" t="s">
        <v>351</v>
      </c>
      <c r="B67" s="34"/>
      <c r="C67" s="13" t="s">
        <v>357</v>
      </c>
      <c r="D67" s="14">
        <v>36547</v>
      </c>
      <c r="E67" s="76" t="s">
        <v>334</v>
      </c>
      <c r="F67" s="16">
        <v>0.08333333333333333</v>
      </c>
      <c r="G67" s="16">
        <v>0.013888888888888888</v>
      </c>
      <c r="H67" s="51">
        <f t="shared" si="16"/>
        <v>0.09722222222222221</v>
      </c>
      <c r="I67" s="16" t="s">
        <v>324</v>
      </c>
      <c r="J67" s="17">
        <v>12</v>
      </c>
      <c r="K67" s="15">
        <v>8</v>
      </c>
      <c r="L67" s="15" t="s">
        <v>285</v>
      </c>
      <c r="M67" s="15">
        <v>0</v>
      </c>
      <c r="N67" s="15">
        <v>2.5</v>
      </c>
      <c r="O67" s="43">
        <f>K67*1625088/N67/(1024*1024)</f>
        <v>4.959375</v>
      </c>
      <c r="P67" s="48">
        <f aca="true" t="shared" si="17" ref="P67:P76">O67*126.31/3600</f>
        <v>0.17400518229166664</v>
      </c>
      <c r="Q67" s="48">
        <f>O67*62.9/3600</f>
        <v>0.08665130208333333</v>
      </c>
      <c r="R67" s="48">
        <f>O67*42.139/3600</f>
        <v>0.05805086197916666</v>
      </c>
      <c r="S67" s="76" t="s">
        <v>390</v>
      </c>
      <c r="T67" s="130" t="s">
        <v>182</v>
      </c>
      <c r="U67" s="29" t="s">
        <v>141</v>
      </c>
      <c r="V67" s="13" t="s">
        <v>43</v>
      </c>
    </row>
    <row r="68" spans="1:22" ht="38.25">
      <c r="A68" s="298" t="s">
        <v>111</v>
      </c>
      <c r="B68" s="297"/>
      <c r="C68" s="298" t="s">
        <v>54</v>
      </c>
      <c r="D68" s="312">
        <v>36547</v>
      </c>
      <c r="E68" s="308" t="s">
        <v>334</v>
      </c>
      <c r="F68" s="302">
        <v>0.22916666666666666</v>
      </c>
      <c r="G68" s="302">
        <v>0.24583333333333335</v>
      </c>
      <c r="H68" s="303">
        <f t="shared" si="16"/>
        <v>0.475</v>
      </c>
      <c r="I68" s="304"/>
      <c r="J68" s="305">
        <v>8</v>
      </c>
      <c r="K68" s="304">
        <v>780</v>
      </c>
      <c r="L68" s="304">
        <v>18</v>
      </c>
      <c r="M68" s="304">
        <v>4</v>
      </c>
      <c r="N68" s="304">
        <v>4</v>
      </c>
      <c r="O68" s="306">
        <f>K68*1625088/N68/(1024*1024)</f>
        <v>302.2119140625</v>
      </c>
      <c r="P68" s="307">
        <f>O68*126.31/3600</f>
        <v>10.603440795898438</v>
      </c>
      <c r="Q68" s="307">
        <f>O68*62.9/3600</f>
        <v>5.280313720703125</v>
      </c>
      <c r="R68" s="307">
        <f>O68*42.139/3600</f>
        <v>3.5374744018554694</v>
      </c>
      <c r="S68" s="308" t="s">
        <v>390</v>
      </c>
      <c r="T68" s="309" t="s">
        <v>182</v>
      </c>
      <c r="U68" s="310" t="s">
        <v>426</v>
      </c>
      <c r="V68" s="298" t="s">
        <v>43</v>
      </c>
    </row>
    <row r="69" spans="1:22" ht="12.75">
      <c r="A69" s="105" t="s">
        <v>342</v>
      </c>
      <c r="B69" s="40">
        <v>43</v>
      </c>
      <c r="C69" s="116"/>
      <c r="D69" s="141">
        <v>36547</v>
      </c>
      <c r="E69" s="114" t="s">
        <v>334</v>
      </c>
      <c r="F69" s="109">
        <v>0.9270833333333334</v>
      </c>
      <c r="G69" s="109">
        <v>0.19791666666666666</v>
      </c>
      <c r="H69" s="104">
        <f t="shared" si="16"/>
        <v>1.125</v>
      </c>
      <c r="I69" s="110"/>
      <c r="J69" s="111"/>
      <c r="K69" s="110"/>
      <c r="L69" s="110"/>
      <c r="M69" s="110"/>
      <c r="N69" s="110"/>
      <c r="O69" s="113">
        <f>SUM(O67:O68)</f>
        <v>307.1712890625</v>
      </c>
      <c r="P69" s="113">
        <f>SUM(P67:P68)</f>
        <v>10.777445978190105</v>
      </c>
      <c r="Q69" s="113">
        <f>SUM(Q67:Q68)</f>
        <v>5.3669650227864585</v>
      </c>
      <c r="R69" s="113">
        <f>SUM(R67:R68)</f>
        <v>3.595525263834636</v>
      </c>
      <c r="S69" s="114"/>
      <c r="T69" s="114"/>
      <c r="U69" s="116"/>
      <c r="V69" s="116"/>
    </row>
    <row r="70" spans="1:22" ht="38.25">
      <c r="A70" s="13" t="s">
        <v>230</v>
      </c>
      <c r="B70" s="34"/>
      <c r="C70" s="13" t="s">
        <v>357</v>
      </c>
      <c r="D70" s="14">
        <v>36549</v>
      </c>
      <c r="E70" s="76" t="s">
        <v>298</v>
      </c>
      <c r="F70" s="16">
        <v>0.5833333333333334</v>
      </c>
      <c r="G70" s="16">
        <v>0.013888888888888888</v>
      </c>
      <c r="H70" s="51">
        <f t="shared" si="16"/>
        <v>0.5972222222222222</v>
      </c>
      <c r="I70" s="16" t="s">
        <v>294</v>
      </c>
      <c r="J70" s="17">
        <v>12</v>
      </c>
      <c r="K70" s="15">
        <v>8</v>
      </c>
      <c r="L70" s="15" t="s">
        <v>285</v>
      </c>
      <c r="M70" s="15">
        <v>0</v>
      </c>
      <c r="N70" s="15">
        <v>2.5</v>
      </c>
      <c r="O70" s="43">
        <f>2*K70*1625088/N70/(1024*1024)</f>
        <v>9.91875</v>
      </c>
      <c r="P70" s="48">
        <f t="shared" si="17"/>
        <v>0.3480103645833333</v>
      </c>
      <c r="Q70" s="48">
        <f>O70*62.9/3600</f>
        <v>0.17330260416666665</v>
      </c>
      <c r="R70" s="48">
        <f>O70*42.139/3600</f>
        <v>0.11610172395833332</v>
      </c>
      <c r="S70" s="76" t="s">
        <v>390</v>
      </c>
      <c r="T70" s="130" t="s">
        <v>182</v>
      </c>
      <c r="U70" s="29" t="s">
        <v>142</v>
      </c>
      <c r="V70" s="13" t="s">
        <v>43</v>
      </c>
    </row>
    <row r="71" spans="1:22" ht="13.5" thickBot="1">
      <c r="A71" s="152" t="s">
        <v>342</v>
      </c>
      <c r="B71" s="134">
        <v>43</v>
      </c>
      <c r="C71" s="153"/>
      <c r="D71" s="154">
        <v>36549</v>
      </c>
      <c r="E71" s="155" t="s">
        <v>298</v>
      </c>
      <c r="F71" s="138">
        <v>0.6631944444444444</v>
      </c>
      <c r="G71" s="138">
        <v>0.20138888888888887</v>
      </c>
      <c r="H71" s="139">
        <f t="shared" si="16"/>
        <v>0.8645833333333333</v>
      </c>
      <c r="I71" s="132"/>
      <c r="J71" s="140"/>
      <c r="K71" s="132"/>
      <c r="L71" s="132"/>
      <c r="M71" s="132"/>
      <c r="N71" s="132"/>
      <c r="O71" s="133">
        <f>SUM(O68:O70)</f>
        <v>619.3019531250001</v>
      </c>
      <c r="P71" s="133">
        <f>SUM(P68:P70)</f>
        <v>21.72889713867188</v>
      </c>
      <c r="Q71" s="133">
        <f>SUM(Q68:Q70)</f>
        <v>10.82058134765625</v>
      </c>
      <c r="R71" s="133">
        <f>SUM(R68:R70)</f>
        <v>7.249101389648439</v>
      </c>
      <c r="S71" s="137"/>
      <c r="T71" s="156"/>
      <c r="U71" s="157"/>
      <c r="V71" s="135"/>
    </row>
    <row r="72" spans="1:22" ht="38.25">
      <c r="A72" s="54" t="s">
        <v>413</v>
      </c>
      <c r="B72" s="55"/>
      <c r="C72" s="54" t="s">
        <v>357</v>
      </c>
      <c r="D72" s="80">
        <v>36550</v>
      </c>
      <c r="E72" s="77" t="s">
        <v>299</v>
      </c>
      <c r="F72" s="57">
        <v>0.125</v>
      </c>
      <c r="G72" s="16">
        <v>0.013888888888888888</v>
      </c>
      <c r="H72" s="58">
        <f t="shared" si="16"/>
        <v>0.1388888888888889</v>
      </c>
      <c r="I72" s="57" t="s">
        <v>294</v>
      </c>
      <c r="J72" s="59">
        <v>12</v>
      </c>
      <c r="K72" s="56">
        <v>8</v>
      </c>
      <c r="L72" s="56" t="s">
        <v>285</v>
      </c>
      <c r="M72" s="56">
        <v>0</v>
      </c>
      <c r="N72" s="56">
        <v>2.5</v>
      </c>
      <c r="O72" s="79">
        <f>2*K72*1625088/N72/(1024*1024)</f>
        <v>9.91875</v>
      </c>
      <c r="P72" s="60">
        <f t="shared" si="17"/>
        <v>0.3480103645833333</v>
      </c>
      <c r="Q72" s="60">
        <f>O72*62.9/3600</f>
        <v>0.17330260416666665</v>
      </c>
      <c r="R72" s="60">
        <f>O72*42.139/3600</f>
        <v>0.11610172395833332</v>
      </c>
      <c r="S72" s="77" t="s">
        <v>391</v>
      </c>
      <c r="T72" s="159" t="s">
        <v>182</v>
      </c>
      <c r="U72" s="61" t="s">
        <v>378</v>
      </c>
      <c r="V72" s="54" t="s">
        <v>43</v>
      </c>
    </row>
    <row r="73" spans="1:22" ht="25.5">
      <c r="A73" s="311" t="s">
        <v>197</v>
      </c>
      <c r="B73" s="313"/>
      <c r="C73" s="311" t="s">
        <v>364</v>
      </c>
      <c r="D73" s="314">
        <v>36550</v>
      </c>
      <c r="E73" s="315" t="s">
        <v>299</v>
      </c>
      <c r="F73" s="316">
        <v>0.14583333333333334</v>
      </c>
      <c r="G73" s="316">
        <v>0.1840277777777778</v>
      </c>
      <c r="H73" s="317">
        <f t="shared" si="16"/>
        <v>0.32986111111111116</v>
      </c>
      <c r="I73" s="318"/>
      <c r="J73" s="319"/>
      <c r="K73" s="318">
        <v>1350</v>
      </c>
      <c r="L73" s="318"/>
      <c r="M73" s="318"/>
      <c r="N73" s="318"/>
      <c r="O73" s="320">
        <f>K73*2864/2.5/1000000</f>
        <v>1.54656</v>
      </c>
      <c r="P73" s="321">
        <f t="shared" si="17"/>
        <v>0.054262776</v>
      </c>
      <c r="Q73" s="321">
        <f>P73*62.9/3600</f>
        <v>0.0009480912806666666</v>
      </c>
      <c r="R73" s="321">
        <f>Q73*42.139/3600</f>
        <v>1.1097671798892409E-05</v>
      </c>
      <c r="S73" s="315" t="s">
        <v>391</v>
      </c>
      <c r="T73" s="322" t="s">
        <v>182</v>
      </c>
      <c r="U73" s="323" t="s">
        <v>394</v>
      </c>
      <c r="V73" s="311" t="s">
        <v>43</v>
      </c>
    </row>
    <row r="74" spans="1:22" ht="38.25">
      <c r="A74" s="298" t="s">
        <v>291</v>
      </c>
      <c r="B74" s="297"/>
      <c r="C74" s="299" t="s">
        <v>364</v>
      </c>
      <c r="D74" s="312">
        <v>36550</v>
      </c>
      <c r="E74" s="308" t="s">
        <v>299</v>
      </c>
      <c r="F74" s="302">
        <v>0.14583333333333334</v>
      </c>
      <c r="G74" s="302">
        <v>0.1840277777777778</v>
      </c>
      <c r="H74" s="303">
        <f t="shared" si="16"/>
        <v>0.32986111111111116</v>
      </c>
      <c r="I74" s="304"/>
      <c r="J74" s="305">
        <v>8</v>
      </c>
      <c r="K74" s="304">
        <v>144</v>
      </c>
      <c r="L74" s="304">
        <v>1</v>
      </c>
      <c r="M74" s="304">
        <v>4</v>
      </c>
      <c r="N74" s="304">
        <v>4</v>
      </c>
      <c r="O74" s="306">
        <f>K74*1625088/N74/(1024*1024)</f>
        <v>55.79296875</v>
      </c>
      <c r="P74" s="307">
        <f t="shared" si="17"/>
        <v>1.95755830078125</v>
      </c>
      <c r="Q74" s="307">
        <f>O74*62.9/3600</f>
        <v>0.9748271484375</v>
      </c>
      <c r="R74" s="307">
        <f>O74*42.139/3600</f>
        <v>0.653072197265625</v>
      </c>
      <c r="S74" s="308" t="s">
        <v>391</v>
      </c>
      <c r="T74" s="309" t="s">
        <v>182</v>
      </c>
      <c r="U74" s="310" t="s">
        <v>282</v>
      </c>
      <c r="V74" s="298" t="s">
        <v>43</v>
      </c>
    </row>
    <row r="75" spans="1:22" ht="25.5">
      <c r="A75" s="311" t="s">
        <v>290</v>
      </c>
      <c r="B75" s="313"/>
      <c r="C75" s="311" t="s">
        <v>364</v>
      </c>
      <c r="D75" s="314">
        <v>36550</v>
      </c>
      <c r="E75" s="315" t="s">
        <v>299</v>
      </c>
      <c r="F75" s="316">
        <v>0.3680555555555556</v>
      </c>
      <c r="G75" s="316">
        <v>0.16875</v>
      </c>
      <c r="H75" s="317">
        <f t="shared" si="16"/>
        <v>0.5368055555555555</v>
      </c>
      <c r="I75" s="318"/>
      <c r="J75" s="319"/>
      <c r="K75" s="318">
        <v>118</v>
      </c>
      <c r="L75" s="318"/>
      <c r="M75" s="318"/>
      <c r="N75" s="318"/>
      <c r="O75" s="320">
        <f>K75*2864/2.5/1000000</f>
        <v>0.1351808</v>
      </c>
      <c r="P75" s="321">
        <f t="shared" si="17"/>
        <v>0.0047429685688888884</v>
      </c>
      <c r="Q75" s="321">
        <f>P75*62.9/3600</f>
        <v>8.287020082864196E-05</v>
      </c>
      <c r="R75" s="321">
        <f>Q75*42.139/3600</f>
        <v>9.700187201994845E-07</v>
      </c>
      <c r="S75" s="315" t="s">
        <v>391</v>
      </c>
      <c r="T75" s="322" t="s">
        <v>182</v>
      </c>
      <c r="U75" s="323" t="s">
        <v>326</v>
      </c>
      <c r="V75" s="311" t="s">
        <v>43</v>
      </c>
    </row>
    <row r="76" spans="1:22" ht="38.25">
      <c r="A76" s="298" t="s">
        <v>281</v>
      </c>
      <c r="B76" s="297"/>
      <c r="C76" s="299" t="s">
        <v>364</v>
      </c>
      <c r="D76" s="312">
        <v>36550</v>
      </c>
      <c r="E76" s="308" t="s">
        <v>299</v>
      </c>
      <c r="F76" s="302">
        <v>0.3680555555555556</v>
      </c>
      <c r="G76" s="302">
        <v>0.16875</v>
      </c>
      <c r="H76" s="303">
        <f t="shared" si="16"/>
        <v>0.5368055555555555</v>
      </c>
      <c r="I76" s="304"/>
      <c r="J76" s="305">
        <v>8</v>
      </c>
      <c r="K76" s="304">
        <v>240</v>
      </c>
      <c r="L76" s="304">
        <v>2</v>
      </c>
      <c r="M76" s="304">
        <v>4</v>
      </c>
      <c r="N76" s="304">
        <v>4</v>
      </c>
      <c r="O76" s="306">
        <f>K76*1625088/N76/(1024*1024)</f>
        <v>92.98828125</v>
      </c>
      <c r="P76" s="307">
        <f t="shared" si="17"/>
        <v>3.2625971679687504</v>
      </c>
      <c r="Q76" s="307">
        <f>O76*62.9/3600</f>
        <v>1.6247119140625</v>
      </c>
      <c r="R76" s="307">
        <f>O76*42.139/3600</f>
        <v>1.088453662109375</v>
      </c>
      <c r="S76" s="308" t="s">
        <v>391</v>
      </c>
      <c r="T76" s="309" t="s">
        <v>182</v>
      </c>
      <c r="U76" s="310" t="s">
        <v>360</v>
      </c>
      <c r="V76" s="298" t="s">
        <v>43</v>
      </c>
    </row>
    <row r="77" spans="1:22" ht="25.5">
      <c r="A77" s="286" t="s">
        <v>349</v>
      </c>
      <c r="B77" s="35"/>
      <c r="C77" s="286" t="s">
        <v>364</v>
      </c>
      <c r="D77" s="287">
        <v>36550</v>
      </c>
      <c r="E77" s="288" t="s">
        <v>299</v>
      </c>
      <c r="F77" s="289">
        <v>0.6041666666666666</v>
      </c>
      <c r="G77" s="289">
        <v>0.022222222222222223</v>
      </c>
      <c r="H77" s="290">
        <f t="shared" si="16"/>
        <v>0.6263888888888889</v>
      </c>
      <c r="I77" s="291"/>
      <c r="J77" s="292"/>
      <c r="K77" s="291">
        <v>100</v>
      </c>
      <c r="L77" s="291"/>
      <c r="M77" s="291"/>
      <c r="N77" s="291"/>
      <c r="O77" s="293">
        <f>K77*2864/2.5/1000000</f>
        <v>0.11456</v>
      </c>
      <c r="P77" s="294">
        <f>O77*126.31/3600</f>
        <v>0.004019464888888889</v>
      </c>
      <c r="Q77" s="294">
        <f>P77*62.9/3600</f>
        <v>7.022898375308642E-05</v>
      </c>
      <c r="R77" s="294">
        <f>Q77*42.139/3600</f>
        <v>8.22049762880919E-07</v>
      </c>
      <c r="S77" s="288" t="s">
        <v>391</v>
      </c>
      <c r="T77" s="322" t="s">
        <v>184</v>
      </c>
      <c r="U77" s="296" t="s">
        <v>115</v>
      </c>
      <c r="V77" s="286" t="s">
        <v>43</v>
      </c>
    </row>
    <row r="78" spans="1:22" ht="12.75">
      <c r="A78" s="105" t="s">
        <v>342</v>
      </c>
      <c r="B78" s="40">
        <v>43</v>
      </c>
      <c r="C78" s="106"/>
      <c r="D78" s="107">
        <v>36550</v>
      </c>
      <c r="E78" s="108" t="s">
        <v>299</v>
      </c>
      <c r="F78" s="109">
        <v>0.6666666666666666</v>
      </c>
      <c r="G78" s="109">
        <v>0.3333333333333333</v>
      </c>
      <c r="H78" s="104">
        <f t="shared" si="16"/>
        <v>1</v>
      </c>
      <c r="I78" s="110"/>
      <c r="J78" s="111"/>
      <c r="K78" s="110"/>
      <c r="L78" s="110"/>
      <c r="M78" s="110"/>
      <c r="N78" s="110"/>
      <c r="O78" s="113">
        <f>SUM(O72:O74)</f>
        <v>67.25827875</v>
      </c>
      <c r="P78" s="113">
        <f>SUM(P72:P74)</f>
        <v>2.3598314413645833</v>
      </c>
      <c r="Q78" s="113">
        <f>SUM(Q72:Q74)</f>
        <v>1.1490778438848332</v>
      </c>
      <c r="R78" s="113">
        <f>SUM(R72:R74)</f>
        <v>0.7691850188957573</v>
      </c>
      <c r="S78" s="114"/>
      <c r="T78" s="124"/>
      <c r="U78" s="115"/>
      <c r="V78" s="116"/>
    </row>
    <row r="79" spans="1:22" ht="25.5">
      <c r="A79" s="5" t="s">
        <v>112</v>
      </c>
      <c r="B79" s="33"/>
      <c r="C79" s="62"/>
      <c r="D79" s="9">
        <v>36551</v>
      </c>
      <c r="E79" s="75" t="s">
        <v>300</v>
      </c>
      <c r="F79" s="11">
        <v>0.08333333333333333</v>
      </c>
      <c r="G79" s="11">
        <v>0.24583333333333335</v>
      </c>
      <c r="H79" s="52">
        <f t="shared" si="16"/>
        <v>0.32916666666666666</v>
      </c>
      <c r="I79" s="10"/>
      <c r="J79" s="12">
        <v>12</v>
      </c>
      <c r="K79" s="10">
        <v>104</v>
      </c>
      <c r="L79" s="10">
        <v>25</v>
      </c>
      <c r="M79" s="10" t="s">
        <v>210</v>
      </c>
      <c r="N79" s="10">
        <v>2.5</v>
      </c>
      <c r="O79" s="44">
        <f>K79*1625088/N79/(1024*1024)</f>
        <v>64.471875</v>
      </c>
      <c r="P79" s="49">
        <f>O79*126.31/3600</f>
        <v>2.2620673697916667</v>
      </c>
      <c r="Q79" s="49">
        <f>O79*62.9/3600</f>
        <v>1.1264669270833332</v>
      </c>
      <c r="R79" s="49">
        <f>O79*42.139/3600</f>
        <v>0.7546612057291666</v>
      </c>
      <c r="S79" s="75" t="s">
        <v>391</v>
      </c>
      <c r="T79" s="126" t="s">
        <v>182</v>
      </c>
      <c r="U79" s="30" t="s">
        <v>348</v>
      </c>
      <c r="V79" s="5" t="s">
        <v>43</v>
      </c>
    </row>
    <row r="80" spans="1:22" ht="38.25">
      <c r="A80" s="54" t="s">
        <v>395</v>
      </c>
      <c r="B80" s="55"/>
      <c r="C80" s="54" t="s">
        <v>357</v>
      </c>
      <c r="D80" s="14">
        <v>36551</v>
      </c>
      <c r="E80" s="76" t="s">
        <v>300</v>
      </c>
      <c r="F80" s="57">
        <v>0.4583333333333333</v>
      </c>
      <c r="G80" s="16">
        <v>0.013888888888888888</v>
      </c>
      <c r="H80" s="58">
        <f aca="true" t="shared" si="18" ref="H80:H101">SUM(F80:G80)</f>
        <v>0.4722222222222222</v>
      </c>
      <c r="I80" s="57" t="s">
        <v>324</v>
      </c>
      <c r="J80" s="59">
        <v>12</v>
      </c>
      <c r="K80" s="56">
        <v>8</v>
      </c>
      <c r="L80" s="15" t="s">
        <v>285</v>
      </c>
      <c r="M80" s="56">
        <v>0</v>
      </c>
      <c r="N80" s="56">
        <v>2.5</v>
      </c>
      <c r="O80" s="43">
        <f>K80*1625088/N80/(1024*1024)</f>
        <v>4.959375</v>
      </c>
      <c r="P80" s="60">
        <f>O80*126.31/3600</f>
        <v>0.17400518229166664</v>
      </c>
      <c r="Q80" s="60">
        <f>O80*62.9/3600</f>
        <v>0.08665130208333333</v>
      </c>
      <c r="R80" s="48">
        <f>O80*42.139/3600</f>
        <v>0.05805086197916666</v>
      </c>
      <c r="S80" s="77" t="s">
        <v>391</v>
      </c>
      <c r="T80" s="130" t="s">
        <v>182</v>
      </c>
      <c r="U80" s="61" t="s">
        <v>379</v>
      </c>
      <c r="V80" s="54" t="s">
        <v>43</v>
      </c>
    </row>
    <row r="81" spans="1:22" ht="12.75">
      <c r="A81" s="105" t="s">
        <v>342</v>
      </c>
      <c r="B81" s="40">
        <v>43</v>
      </c>
      <c r="C81" s="106"/>
      <c r="D81" s="107">
        <v>36551</v>
      </c>
      <c r="E81" s="108" t="s">
        <v>300</v>
      </c>
      <c r="F81" s="109">
        <v>0.7326388888888888</v>
      </c>
      <c r="G81" s="109">
        <v>0.2673611111111111</v>
      </c>
      <c r="H81" s="104">
        <f t="shared" si="18"/>
        <v>1</v>
      </c>
      <c r="I81" s="110"/>
      <c r="J81" s="111"/>
      <c r="K81" s="110"/>
      <c r="L81" s="110"/>
      <c r="M81" s="110"/>
      <c r="N81" s="110"/>
      <c r="O81" s="113">
        <f>SUM(O80:O80)</f>
        <v>4.959375</v>
      </c>
      <c r="P81" s="113">
        <f>SUM(P80:P80)</f>
        <v>0.17400518229166664</v>
      </c>
      <c r="Q81" s="113">
        <f>SUM(Q80:Q80)</f>
        <v>0.08665130208333333</v>
      </c>
      <c r="R81" s="113">
        <f>SUM(R80:R80)</f>
        <v>0.05805086197916666</v>
      </c>
      <c r="S81" s="114"/>
      <c r="T81" s="124"/>
      <c r="U81" s="115"/>
      <c r="V81" s="116"/>
    </row>
    <row r="82" spans="1:22" ht="38.25">
      <c r="A82" s="13" t="s">
        <v>396</v>
      </c>
      <c r="B82" s="34"/>
      <c r="C82" s="13" t="s">
        <v>357</v>
      </c>
      <c r="D82" s="14">
        <v>36552</v>
      </c>
      <c r="E82" s="76" t="s">
        <v>301</v>
      </c>
      <c r="F82" s="16">
        <v>0.5833333333333334</v>
      </c>
      <c r="G82" s="16">
        <v>0.013888888888888888</v>
      </c>
      <c r="H82" s="51">
        <f t="shared" si="18"/>
        <v>0.5972222222222222</v>
      </c>
      <c r="I82" s="16" t="s">
        <v>324</v>
      </c>
      <c r="J82" s="17">
        <v>12</v>
      </c>
      <c r="K82" s="15">
        <v>8</v>
      </c>
      <c r="L82" s="15" t="s">
        <v>285</v>
      </c>
      <c r="M82" s="15">
        <v>0</v>
      </c>
      <c r="N82" s="15">
        <v>2.5</v>
      </c>
      <c r="O82" s="43">
        <f>K82*1625088/N82/(1024*1024)</f>
        <v>4.959375</v>
      </c>
      <c r="P82" s="48">
        <f>O82*126.31/3600</f>
        <v>0.17400518229166664</v>
      </c>
      <c r="Q82" s="48">
        <f>O82*62.9/3600</f>
        <v>0.08665130208333333</v>
      </c>
      <c r="R82" s="48">
        <f>O82*42.139/3600</f>
        <v>0.05805086197916666</v>
      </c>
      <c r="S82" s="76" t="s">
        <v>391</v>
      </c>
      <c r="T82" s="130" t="s">
        <v>182</v>
      </c>
      <c r="U82" s="29" t="s">
        <v>380</v>
      </c>
      <c r="V82" s="13" t="s">
        <v>43</v>
      </c>
    </row>
    <row r="83" spans="1:22" ht="12.75">
      <c r="A83" s="105" t="s">
        <v>342</v>
      </c>
      <c r="B83" s="40">
        <v>43</v>
      </c>
      <c r="C83" s="106"/>
      <c r="D83" s="107">
        <v>36552</v>
      </c>
      <c r="E83" s="108" t="s">
        <v>301</v>
      </c>
      <c r="F83" s="109">
        <v>0.8333333333333334</v>
      </c>
      <c r="G83" s="109">
        <v>0.3020833333333333</v>
      </c>
      <c r="H83" s="104">
        <f t="shared" si="18"/>
        <v>1.1354166666666667</v>
      </c>
      <c r="I83" s="110"/>
      <c r="J83" s="111"/>
      <c r="K83" s="110"/>
      <c r="L83" s="110"/>
      <c r="M83" s="110"/>
      <c r="N83" s="110"/>
      <c r="O83" s="113">
        <f>O82</f>
        <v>4.959375</v>
      </c>
      <c r="P83" s="113">
        <f>P82</f>
        <v>0.17400518229166664</v>
      </c>
      <c r="Q83" s="113">
        <f>Q82</f>
        <v>0.08665130208333333</v>
      </c>
      <c r="R83" s="113">
        <f>R82</f>
        <v>0.05805086197916666</v>
      </c>
      <c r="S83" s="114"/>
      <c r="T83" s="124"/>
      <c r="U83" s="115"/>
      <c r="V83" s="116"/>
    </row>
    <row r="84" spans="1:22" ht="89.25">
      <c r="A84" s="298" t="s">
        <v>393</v>
      </c>
      <c r="B84" s="297"/>
      <c r="C84" s="298" t="s">
        <v>54</v>
      </c>
      <c r="D84" s="312">
        <v>36553</v>
      </c>
      <c r="E84" s="308" t="s">
        <v>302</v>
      </c>
      <c r="F84" s="302">
        <v>0.3333333333333333</v>
      </c>
      <c r="G84" s="302">
        <v>0.10833333333333334</v>
      </c>
      <c r="H84" s="303">
        <f t="shared" si="18"/>
        <v>0.44166666666666665</v>
      </c>
      <c r="I84" s="304"/>
      <c r="J84" s="305">
        <v>12</v>
      </c>
      <c r="K84" s="304">
        <v>168</v>
      </c>
      <c r="L84" s="304" t="s">
        <v>286</v>
      </c>
      <c r="M84" s="304">
        <v>0</v>
      </c>
      <c r="N84" s="304">
        <v>2.5</v>
      </c>
      <c r="O84" s="306">
        <f>K84*1625088/N84/(1024*1024)</f>
        <v>104.146875</v>
      </c>
      <c r="P84" s="307">
        <f>O84*126.31/3600</f>
        <v>3.654108828125</v>
      </c>
      <c r="Q84" s="307">
        <f>O84*62.9/3600</f>
        <v>1.8196773437499998</v>
      </c>
      <c r="R84" s="307">
        <f>O84*42.139/3600</f>
        <v>1.2190681015625</v>
      </c>
      <c r="S84" s="308" t="s">
        <v>391</v>
      </c>
      <c r="T84" s="309" t="s">
        <v>182</v>
      </c>
      <c r="U84" s="310" t="s">
        <v>311</v>
      </c>
      <c r="V84" s="298" t="s">
        <v>43</v>
      </c>
    </row>
    <row r="85" spans="1:22" ht="38.25">
      <c r="A85" s="13" t="s">
        <v>397</v>
      </c>
      <c r="B85" s="34"/>
      <c r="C85" s="13" t="s">
        <v>357</v>
      </c>
      <c r="D85" s="14">
        <v>36553</v>
      </c>
      <c r="E85" s="76" t="s">
        <v>302</v>
      </c>
      <c r="F85" s="16">
        <v>0.5416666666666666</v>
      </c>
      <c r="G85" s="16">
        <v>0.013888888888888888</v>
      </c>
      <c r="H85" s="51">
        <f t="shared" si="18"/>
        <v>0.5555555555555555</v>
      </c>
      <c r="I85" s="16" t="s">
        <v>324</v>
      </c>
      <c r="J85" s="17">
        <v>12</v>
      </c>
      <c r="K85" s="15">
        <v>8</v>
      </c>
      <c r="L85" s="15" t="s">
        <v>285</v>
      </c>
      <c r="M85" s="15">
        <v>0</v>
      </c>
      <c r="N85" s="15">
        <v>2.5</v>
      </c>
      <c r="O85" s="43">
        <f>K85*1625088/N85/(1024*1024)</f>
        <v>4.959375</v>
      </c>
      <c r="P85" s="48">
        <f>O85*126.31/3600</f>
        <v>0.17400518229166664</v>
      </c>
      <c r="Q85" s="48">
        <f>O85*62.9/3600</f>
        <v>0.08665130208333333</v>
      </c>
      <c r="R85" s="48">
        <f>O85*42.139/3600</f>
        <v>0.05805086197916666</v>
      </c>
      <c r="S85" s="76" t="s">
        <v>391</v>
      </c>
      <c r="T85" s="130" t="s">
        <v>182</v>
      </c>
      <c r="U85" s="29" t="s">
        <v>381</v>
      </c>
      <c r="V85" s="13" t="s">
        <v>43</v>
      </c>
    </row>
    <row r="86" spans="1:22" ht="12.75">
      <c r="A86" s="105" t="s">
        <v>342</v>
      </c>
      <c r="B86" s="40">
        <v>43</v>
      </c>
      <c r="C86" s="106"/>
      <c r="D86" s="107">
        <v>36553</v>
      </c>
      <c r="E86" s="108" t="s">
        <v>302</v>
      </c>
      <c r="F86" s="109">
        <v>0.7916666666666666</v>
      </c>
      <c r="G86" s="109">
        <v>0.3020833333333333</v>
      </c>
      <c r="H86" s="104">
        <f t="shared" si="18"/>
        <v>1.09375</v>
      </c>
      <c r="I86" s="110"/>
      <c r="J86" s="111"/>
      <c r="K86" s="110"/>
      <c r="L86" s="110"/>
      <c r="M86" s="110"/>
      <c r="N86" s="110"/>
      <c r="O86" s="113">
        <f>SUM(O84:O85)</f>
        <v>109.10624999999999</v>
      </c>
      <c r="P86" s="113">
        <f>SUM(P84:P85)</f>
        <v>3.828114010416667</v>
      </c>
      <c r="Q86" s="113">
        <f>SUM(Q84:Q85)</f>
        <v>1.906328645833333</v>
      </c>
      <c r="R86" s="113">
        <f>SUM(R84:R85)</f>
        <v>1.2771189635416667</v>
      </c>
      <c r="S86" s="114"/>
      <c r="T86" s="124"/>
      <c r="U86" s="115"/>
      <c r="V86" s="116"/>
    </row>
    <row r="87" spans="1:22" ht="38.25">
      <c r="A87" s="13" t="s">
        <v>398</v>
      </c>
      <c r="B87" s="34"/>
      <c r="C87" s="13" t="s">
        <v>357</v>
      </c>
      <c r="D87" s="14">
        <v>36554</v>
      </c>
      <c r="E87" s="76" t="s">
        <v>305</v>
      </c>
      <c r="F87" s="16">
        <v>0.25</v>
      </c>
      <c r="G87" s="16">
        <v>0.013888888888888888</v>
      </c>
      <c r="H87" s="51">
        <f t="shared" si="18"/>
        <v>0.2638888888888889</v>
      </c>
      <c r="I87" s="16" t="s">
        <v>324</v>
      </c>
      <c r="J87" s="17">
        <v>12</v>
      </c>
      <c r="K87" s="15">
        <v>8</v>
      </c>
      <c r="L87" s="15" t="s">
        <v>285</v>
      </c>
      <c r="M87" s="15">
        <v>0</v>
      </c>
      <c r="N87" s="15">
        <v>2.5</v>
      </c>
      <c r="O87" s="43">
        <f>K87*1625088/N87/(1024*1024)</f>
        <v>4.959375</v>
      </c>
      <c r="P87" s="48">
        <f>O87*126.31/3600</f>
        <v>0.17400518229166664</v>
      </c>
      <c r="Q87" s="48">
        <f>O87*62.9/3600</f>
        <v>0.08665130208333333</v>
      </c>
      <c r="R87" s="48">
        <f>O87*42.139/3600</f>
        <v>0.05805086197916666</v>
      </c>
      <c r="S87" s="76" t="s">
        <v>391</v>
      </c>
      <c r="T87" s="130" t="s">
        <v>182</v>
      </c>
      <c r="U87" s="29" t="s">
        <v>382</v>
      </c>
      <c r="V87" s="13" t="s">
        <v>43</v>
      </c>
    </row>
    <row r="88" spans="1:22" ht="38.25">
      <c r="A88" s="5" t="s">
        <v>322</v>
      </c>
      <c r="B88" s="33"/>
      <c r="C88" s="5" t="s">
        <v>54</v>
      </c>
      <c r="D88" s="9">
        <v>36554</v>
      </c>
      <c r="E88" s="75" t="s">
        <v>305</v>
      </c>
      <c r="F88" s="11">
        <v>0.3333333333333333</v>
      </c>
      <c r="G88" s="11">
        <v>0.24583333333333335</v>
      </c>
      <c r="H88" s="52">
        <f>SUM(F88:G88)</f>
        <v>0.5791666666666666</v>
      </c>
      <c r="I88" s="10"/>
      <c r="J88" s="12">
        <v>12</v>
      </c>
      <c r="K88" s="10">
        <v>104</v>
      </c>
      <c r="L88" s="10">
        <v>25</v>
      </c>
      <c r="M88" s="10" t="s">
        <v>210</v>
      </c>
      <c r="N88" s="10">
        <v>2.5</v>
      </c>
      <c r="O88" s="44">
        <f>K88*1625088/N88/(1024*1024)</f>
        <v>64.471875</v>
      </c>
      <c r="P88" s="49">
        <f>O88*126.31/3600</f>
        <v>2.2620673697916667</v>
      </c>
      <c r="Q88" s="49">
        <f>O88*62.9/3600</f>
        <v>1.1264669270833332</v>
      </c>
      <c r="R88" s="49">
        <f>O88*42.139/3600</f>
        <v>0.7546612057291666</v>
      </c>
      <c r="S88" s="75" t="s">
        <v>391</v>
      </c>
      <c r="T88" s="126" t="s">
        <v>182</v>
      </c>
      <c r="U88" s="30" t="s">
        <v>195</v>
      </c>
      <c r="V88" s="5" t="s">
        <v>43</v>
      </c>
    </row>
    <row r="89" spans="1:22" ht="25.5">
      <c r="A89" s="286" t="s">
        <v>341</v>
      </c>
      <c r="B89" s="35"/>
      <c r="C89" s="286" t="s">
        <v>54</v>
      </c>
      <c r="D89" s="287">
        <v>36554</v>
      </c>
      <c r="E89" s="288" t="s">
        <v>305</v>
      </c>
      <c r="F89" s="289">
        <v>0.3333333333333333</v>
      </c>
      <c r="G89" s="289">
        <v>0.24583333333333335</v>
      </c>
      <c r="H89" s="290">
        <f t="shared" si="18"/>
        <v>0.5791666666666666</v>
      </c>
      <c r="I89" s="291"/>
      <c r="J89" s="292"/>
      <c r="K89" s="291">
        <v>1575</v>
      </c>
      <c r="L89" s="291"/>
      <c r="M89" s="291"/>
      <c r="N89" s="291"/>
      <c r="O89" s="293">
        <f>K89*2864/2.5/1000000</f>
        <v>1.80432</v>
      </c>
      <c r="P89" s="294">
        <f>O89*1000/17.6/3600</f>
        <v>0.028477272727272723</v>
      </c>
      <c r="Q89" s="294">
        <f>O89*1000/17.6/3600</f>
        <v>0.028477272727272723</v>
      </c>
      <c r="R89" s="294">
        <f>O89*1000/17.6/3600</f>
        <v>0.028477272727272723</v>
      </c>
      <c r="S89" s="288" t="s">
        <v>391</v>
      </c>
      <c r="T89" s="295" t="s">
        <v>182</v>
      </c>
      <c r="U89" s="296" t="s">
        <v>359</v>
      </c>
      <c r="V89" s="286" t="s">
        <v>43</v>
      </c>
    </row>
    <row r="90" spans="1:22" ht="12.75">
      <c r="A90" s="105" t="s">
        <v>342</v>
      </c>
      <c r="B90" s="40">
        <v>43</v>
      </c>
      <c r="C90" s="106"/>
      <c r="D90" s="107">
        <v>36554</v>
      </c>
      <c r="E90" s="108" t="s">
        <v>305</v>
      </c>
      <c r="F90" s="109">
        <v>0.6666666666666666</v>
      </c>
      <c r="G90" s="109">
        <v>0.3333333333333333</v>
      </c>
      <c r="H90" s="104">
        <f t="shared" si="18"/>
        <v>1</v>
      </c>
      <c r="I90" s="110"/>
      <c r="J90" s="111"/>
      <c r="K90" s="110"/>
      <c r="L90" s="110"/>
      <c r="M90" s="110"/>
      <c r="N90" s="110"/>
      <c r="O90" s="113">
        <f>SUM(O87:O88)</f>
        <v>69.43124999999999</v>
      </c>
      <c r="P90" s="113">
        <f>SUM(P87:P88)</f>
        <v>2.4360725520833335</v>
      </c>
      <c r="Q90" s="113">
        <f>SUM(Q87:Q88)</f>
        <v>1.2131182291666665</v>
      </c>
      <c r="R90" s="113">
        <f>SUM(R87:R88)</f>
        <v>0.8127120677083333</v>
      </c>
      <c r="S90" s="114"/>
      <c r="T90" s="124"/>
      <c r="U90" s="115"/>
      <c r="V90" s="116"/>
    </row>
    <row r="91" spans="1:22" ht="38.25">
      <c r="A91" s="13" t="s">
        <v>321</v>
      </c>
      <c r="B91" s="34"/>
      <c r="C91" s="13" t="s">
        <v>357</v>
      </c>
      <c r="D91" s="14">
        <v>36555</v>
      </c>
      <c r="E91" s="76" t="s">
        <v>306</v>
      </c>
      <c r="F91" s="16">
        <v>0.5625</v>
      </c>
      <c r="G91" s="16">
        <v>0.013888888888888888</v>
      </c>
      <c r="H91" s="51">
        <f t="shared" si="18"/>
        <v>0.5763888888888888</v>
      </c>
      <c r="I91" s="16" t="s">
        <v>324</v>
      </c>
      <c r="J91" s="17">
        <v>12</v>
      </c>
      <c r="K91" s="15">
        <v>8</v>
      </c>
      <c r="L91" s="15" t="s">
        <v>285</v>
      </c>
      <c r="M91" s="15">
        <v>0</v>
      </c>
      <c r="N91" s="15">
        <v>2.5</v>
      </c>
      <c r="O91" s="43">
        <f>K91*1625088/N91/(1024*1024)</f>
        <v>4.959375</v>
      </c>
      <c r="P91" s="48">
        <f>O91*126.31/3600</f>
        <v>0.17400518229166664</v>
      </c>
      <c r="Q91" s="48">
        <f>O91*62.9/3600</f>
        <v>0.08665130208333333</v>
      </c>
      <c r="R91" s="48">
        <f>O91*42.139/3600</f>
        <v>0.05805086197916666</v>
      </c>
      <c r="S91" s="76" t="s">
        <v>391</v>
      </c>
      <c r="T91" s="130" t="s">
        <v>182</v>
      </c>
      <c r="U91" s="29" t="s">
        <v>383</v>
      </c>
      <c r="V91" s="13" t="s">
        <v>43</v>
      </c>
    </row>
    <row r="92" spans="1:22" ht="12.75">
      <c r="A92" s="105" t="s">
        <v>342</v>
      </c>
      <c r="B92" s="40">
        <v>43</v>
      </c>
      <c r="C92" s="106"/>
      <c r="D92" s="107">
        <v>36555</v>
      </c>
      <c r="E92" s="108" t="s">
        <v>306</v>
      </c>
      <c r="F92" s="109">
        <v>0.6666666666666666</v>
      </c>
      <c r="G92" s="109">
        <v>0.3333333333333333</v>
      </c>
      <c r="H92" s="104">
        <f t="shared" si="18"/>
        <v>1</v>
      </c>
      <c r="I92" s="110"/>
      <c r="J92" s="111"/>
      <c r="K92" s="110"/>
      <c r="L92" s="110"/>
      <c r="M92" s="110"/>
      <c r="N92" s="110"/>
      <c r="O92" s="113">
        <f>SUM(O88:O91)</f>
        <v>140.66682</v>
      </c>
      <c r="P92" s="113">
        <f>SUM(P88:P91)</f>
        <v>4.900622376893939</v>
      </c>
      <c r="Q92" s="113">
        <f>SUM(Q88:Q91)</f>
        <v>2.4547137310606058</v>
      </c>
      <c r="R92" s="113">
        <f>SUM(R88:R91)</f>
        <v>1.6539014081439392</v>
      </c>
      <c r="S92" s="114"/>
      <c r="T92" s="124"/>
      <c r="U92" s="115"/>
      <c r="V92" s="116"/>
    </row>
    <row r="93" spans="1:22" ht="22.5" customHeight="1">
      <c r="A93" s="13" t="s">
        <v>56</v>
      </c>
      <c r="B93" s="34"/>
      <c r="C93" s="13" t="s">
        <v>357</v>
      </c>
      <c r="D93" s="14">
        <v>36556</v>
      </c>
      <c r="E93" s="76" t="s">
        <v>307</v>
      </c>
      <c r="F93" s="16">
        <v>0.6284722222222222</v>
      </c>
      <c r="G93" s="16">
        <v>0.013888888888888888</v>
      </c>
      <c r="H93" s="51">
        <f t="shared" si="18"/>
        <v>0.642361111111111</v>
      </c>
      <c r="I93" s="16" t="s">
        <v>324</v>
      </c>
      <c r="J93" s="17">
        <v>12</v>
      </c>
      <c r="K93" s="15">
        <v>8</v>
      </c>
      <c r="L93" s="15" t="s">
        <v>285</v>
      </c>
      <c r="M93" s="15">
        <v>0</v>
      </c>
      <c r="N93" s="15">
        <v>2.5</v>
      </c>
      <c r="O93" s="43">
        <f>K93*1625088/N93/(1024*1024)</f>
        <v>4.959375</v>
      </c>
      <c r="P93" s="48">
        <f>O93*126.31/3600</f>
        <v>0.17400518229166664</v>
      </c>
      <c r="Q93" s="48">
        <f>O93*62.9/3600</f>
        <v>0.08665130208333333</v>
      </c>
      <c r="R93" s="48">
        <f>O93*42.139/3600</f>
        <v>0.05805086197916666</v>
      </c>
      <c r="S93" s="76" t="s">
        <v>391</v>
      </c>
      <c r="T93" s="130" t="s">
        <v>182</v>
      </c>
      <c r="U93" s="13" t="s">
        <v>384</v>
      </c>
      <c r="V93" s="13" t="s">
        <v>43</v>
      </c>
    </row>
    <row r="94" spans="1:22" ht="13.5" thickBot="1">
      <c r="A94" s="152" t="s">
        <v>342</v>
      </c>
      <c r="B94" s="134">
        <v>43</v>
      </c>
      <c r="C94" s="135"/>
      <c r="D94" s="136">
        <v>36556</v>
      </c>
      <c r="E94" s="137" t="s">
        <v>307</v>
      </c>
      <c r="F94" s="138">
        <v>0.65625</v>
      </c>
      <c r="G94" s="138">
        <v>0.20833333333333334</v>
      </c>
      <c r="H94" s="139">
        <f t="shared" si="18"/>
        <v>0.8645833333333334</v>
      </c>
      <c r="I94" s="132"/>
      <c r="J94" s="140"/>
      <c r="K94" s="132"/>
      <c r="L94" s="132"/>
      <c r="M94" s="132"/>
      <c r="N94" s="132"/>
      <c r="O94" s="133">
        <f>SUM(O93:O93)</f>
        <v>4.959375</v>
      </c>
      <c r="P94" s="133">
        <f>SUM(P93:P93)</f>
        <v>0.17400518229166664</v>
      </c>
      <c r="Q94" s="133">
        <f>SUM(Q93:Q93)</f>
        <v>0.08665130208333333</v>
      </c>
      <c r="R94" s="133">
        <f>SUM(R93:R93)</f>
        <v>0.05805086197916666</v>
      </c>
      <c r="S94" s="137"/>
      <c r="T94" s="137"/>
      <c r="U94" s="135"/>
      <c r="V94" s="135"/>
    </row>
    <row r="95" spans="1:22" ht="38.25">
      <c r="A95" s="311" t="s">
        <v>358</v>
      </c>
      <c r="B95" s="313"/>
      <c r="C95" s="311" t="s">
        <v>364</v>
      </c>
      <c r="D95" s="314">
        <v>36556</v>
      </c>
      <c r="E95" s="315" t="s">
        <v>307</v>
      </c>
      <c r="F95" s="316">
        <v>0.9583333333333334</v>
      </c>
      <c r="G95" s="316">
        <v>0.09166666666666667</v>
      </c>
      <c r="H95" s="317">
        <f t="shared" si="18"/>
        <v>1.05</v>
      </c>
      <c r="I95" s="318"/>
      <c r="J95" s="319"/>
      <c r="K95" s="318">
        <v>4920</v>
      </c>
      <c r="L95" s="318"/>
      <c r="M95" s="318"/>
      <c r="N95" s="318"/>
      <c r="O95" s="320">
        <f>K95*2864/2.5/1000000</f>
        <v>5.636352</v>
      </c>
      <c r="P95" s="321">
        <f aca="true" t="shared" si="19" ref="P95:P101">O95*126.31/3600</f>
        <v>0.19775767253333332</v>
      </c>
      <c r="Q95" s="321">
        <f>P95*62.9/3600</f>
        <v>0.0034552660006518516</v>
      </c>
      <c r="R95" s="321">
        <f>Q95*42.139/3600</f>
        <v>4.044484833374122E-05</v>
      </c>
      <c r="S95" s="315" t="s">
        <v>320</v>
      </c>
      <c r="T95" s="322" t="s">
        <v>182</v>
      </c>
      <c r="U95" s="323" t="s">
        <v>278</v>
      </c>
      <c r="V95" s="311" t="s">
        <v>43</v>
      </c>
    </row>
    <row r="96" spans="1:22" ht="38.25">
      <c r="A96" s="298" t="s">
        <v>55</v>
      </c>
      <c r="B96" s="297"/>
      <c r="C96" s="299" t="s">
        <v>364</v>
      </c>
      <c r="D96" s="312">
        <v>36556</v>
      </c>
      <c r="E96" s="308" t="s">
        <v>307</v>
      </c>
      <c r="F96" s="302">
        <v>0.9583333333333334</v>
      </c>
      <c r="G96" s="302">
        <v>0.09166666666666667</v>
      </c>
      <c r="H96" s="303">
        <f t="shared" si="18"/>
        <v>1.05</v>
      </c>
      <c r="I96" s="304"/>
      <c r="J96" s="305">
        <v>8</v>
      </c>
      <c r="K96" s="304">
        <v>84</v>
      </c>
      <c r="L96" s="304">
        <v>18</v>
      </c>
      <c r="M96" s="304">
        <v>0</v>
      </c>
      <c r="N96" s="304">
        <v>4</v>
      </c>
      <c r="O96" s="306">
        <f>K96*1625088/N96/(1024*1024)</f>
        <v>32.5458984375</v>
      </c>
      <c r="P96" s="307">
        <f t="shared" si="19"/>
        <v>1.1419090087890624</v>
      </c>
      <c r="Q96" s="307">
        <f>O96*62.9/3600</f>
        <v>0.568649169921875</v>
      </c>
      <c r="R96" s="307">
        <f>O96*42.139/3600</f>
        <v>0.3809587817382813</v>
      </c>
      <c r="S96" s="308" t="s">
        <v>320</v>
      </c>
      <c r="T96" s="309" t="s">
        <v>182</v>
      </c>
      <c r="U96" s="310" t="s">
        <v>279</v>
      </c>
      <c r="V96" s="298" t="s">
        <v>43</v>
      </c>
    </row>
    <row r="97" spans="1:22" ht="38.25">
      <c r="A97" s="54" t="s">
        <v>57</v>
      </c>
      <c r="B97" s="55"/>
      <c r="C97" s="54" t="s">
        <v>357</v>
      </c>
      <c r="D97" s="80">
        <v>36557</v>
      </c>
      <c r="E97" s="77" t="s">
        <v>308</v>
      </c>
      <c r="F97" s="57">
        <v>0.25</v>
      </c>
      <c r="G97" s="16">
        <v>0.013888888888888888</v>
      </c>
      <c r="H97" s="58">
        <f>SUM(F97:G97)</f>
        <v>0.2638888888888889</v>
      </c>
      <c r="I97" s="57" t="s">
        <v>324</v>
      </c>
      <c r="J97" s="59">
        <v>12</v>
      </c>
      <c r="K97" s="56">
        <v>8</v>
      </c>
      <c r="L97" s="15" t="s">
        <v>285</v>
      </c>
      <c r="M97" s="56">
        <v>0</v>
      </c>
      <c r="N97" s="56">
        <v>2.5</v>
      </c>
      <c r="O97" s="79">
        <f>K97*1625088/N97/(1024*1024)</f>
        <v>4.959375</v>
      </c>
      <c r="P97" s="60">
        <f>O97*126.31/3600</f>
        <v>0.17400518229166664</v>
      </c>
      <c r="Q97" s="60">
        <f>O97*62.9/3600</f>
        <v>0.08665130208333333</v>
      </c>
      <c r="R97" s="60">
        <f>O97*42.139/3600</f>
        <v>0.05805086197916666</v>
      </c>
      <c r="S97" s="77" t="s">
        <v>320</v>
      </c>
      <c r="T97" s="130" t="s">
        <v>182</v>
      </c>
      <c r="U97" s="61" t="s">
        <v>385</v>
      </c>
      <c r="V97" s="54" t="s">
        <v>43</v>
      </c>
    </row>
    <row r="98" spans="1:22" ht="37.5" customHeight="1">
      <c r="A98" s="324" t="s">
        <v>309</v>
      </c>
      <c r="B98" s="325"/>
      <c r="C98" s="324" t="s">
        <v>364</v>
      </c>
      <c r="D98" s="326">
        <v>36557</v>
      </c>
      <c r="E98" s="327" t="s">
        <v>308</v>
      </c>
      <c r="F98" s="328">
        <v>0.2708333333333333</v>
      </c>
      <c r="G98" s="328">
        <v>0.125</v>
      </c>
      <c r="H98" s="329">
        <f t="shared" si="18"/>
        <v>0.3958333333333333</v>
      </c>
      <c r="I98" s="330"/>
      <c r="J98" s="331"/>
      <c r="K98" s="330">
        <v>1857</v>
      </c>
      <c r="L98" s="330"/>
      <c r="M98" s="330"/>
      <c r="N98" s="330"/>
      <c r="O98" s="332">
        <f>K98*2864/2.5/1000000</f>
        <v>2.1273792</v>
      </c>
      <c r="P98" s="333">
        <f t="shared" si="19"/>
        <v>0.07464146298666667</v>
      </c>
      <c r="Q98" s="333">
        <f>P98*62.9/3600</f>
        <v>0.0013041522282948147</v>
      </c>
      <c r="R98" s="333">
        <f>Q98*42.139/3600</f>
        <v>1.5265464096698667E-05</v>
      </c>
      <c r="S98" s="327" t="s">
        <v>320</v>
      </c>
      <c r="T98" s="295" t="s">
        <v>182</v>
      </c>
      <c r="U98" s="334" t="s">
        <v>288</v>
      </c>
      <c r="V98" s="324" t="s">
        <v>43</v>
      </c>
    </row>
    <row r="99" spans="1:22" ht="38.25">
      <c r="A99" s="298" t="s">
        <v>310</v>
      </c>
      <c r="B99" s="297"/>
      <c r="C99" s="298" t="s">
        <v>364</v>
      </c>
      <c r="D99" s="312">
        <v>36557</v>
      </c>
      <c r="E99" s="308" t="s">
        <v>308</v>
      </c>
      <c r="F99" s="302">
        <v>0.2708333333333333</v>
      </c>
      <c r="G99" s="302">
        <v>0.125</v>
      </c>
      <c r="H99" s="303">
        <f t="shared" si="18"/>
        <v>0.3958333333333333</v>
      </c>
      <c r="I99" s="304"/>
      <c r="J99" s="305">
        <v>8</v>
      </c>
      <c r="K99" s="304">
        <v>37</v>
      </c>
      <c r="L99" s="304">
        <v>18</v>
      </c>
      <c r="M99" s="304">
        <v>0</v>
      </c>
      <c r="N99" s="304">
        <v>4</v>
      </c>
      <c r="O99" s="306">
        <f>K99*1625088/N99/(1024*1024)</f>
        <v>14.335693359375</v>
      </c>
      <c r="P99" s="307">
        <f t="shared" si="19"/>
        <v>0.502983730061849</v>
      </c>
      <c r="Q99" s="307">
        <f>O99*62.9/3600</f>
        <v>0.25047642008463544</v>
      </c>
      <c r="R99" s="307">
        <f>O99*42.139/3600</f>
        <v>0.16780327290852864</v>
      </c>
      <c r="S99" s="308" t="s">
        <v>320</v>
      </c>
      <c r="T99" s="309" t="s">
        <v>182</v>
      </c>
      <c r="U99" s="298" t="s">
        <v>108</v>
      </c>
      <c r="V99" s="298" t="s">
        <v>43</v>
      </c>
    </row>
    <row r="100" spans="1:22" ht="12.75">
      <c r="A100" s="105" t="s">
        <v>342</v>
      </c>
      <c r="B100" s="40">
        <v>14</v>
      </c>
      <c r="C100" s="106"/>
      <c r="D100" s="107">
        <v>36557</v>
      </c>
      <c r="E100" s="108" t="s">
        <v>308</v>
      </c>
      <c r="F100" s="109">
        <v>0.5277777777777778</v>
      </c>
      <c r="G100" s="109">
        <v>0.2534722222222222</v>
      </c>
      <c r="H100" s="104">
        <f>SUM(F100:G100)</f>
        <v>0.78125</v>
      </c>
      <c r="I100" s="110"/>
      <c r="J100" s="111"/>
      <c r="K100" s="110"/>
      <c r="L100" s="110"/>
      <c r="M100" s="110"/>
      <c r="N100" s="110"/>
      <c r="O100" s="113">
        <f>SUM(O95:O99)</f>
        <v>59.604697996875004</v>
      </c>
      <c r="P100" s="113">
        <f>SUM(P95:P99)</f>
        <v>2.091297056662578</v>
      </c>
      <c r="Q100" s="113">
        <f>SUM(Q95:Q99)</f>
        <v>0.9105363103187905</v>
      </c>
      <c r="R100" s="113">
        <f>SUM(R95:R99)</f>
        <v>0.606868626938407</v>
      </c>
      <c r="S100" s="114"/>
      <c r="T100" s="124"/>
      <c r="U100" s="115"/>
      <c r="V100" s="116"/>
    </row>
    <row r="101" spans="1:22" ht="38.25">
      <c r="A101" s="13" t="s">
        <v>208</v>
      </c>
      <c r="B101" s="34"/>
      <c r="C101" s="13" t="s">
        <v>357</v>
      </c>
      <c r="D101" s="14">
        <v>36559</v>
      </c>
      <c r="E101" s="76" t="s">
        <v>201</v>
      </c>
      <c r="F101" s="16">
        <v>0.4166666666666667</v>
      </c>
      <c r="G101" s="16">
        <v>0.013888888888888888</v>
      </c>
      <c r="H101" s="51">
        <f t="shared" si="18"/>
        <v>0.4305555555555556</v>
      </c>
      <c r="I101" s="16" t="s">
        <v>324</v>
      </c>
      <c r="J101" s="17">
        <v>12</v>
      </c>
      <c r="K101" s="15">
        <v>8</v>
      </c>
      <c r="L101" s="15" t="s">
        <v>285</v>
      </c>
      <c r="M101" s="15">
        <v>0</v>
      </c>
      <c r="N101" s="15">
        <v>2.5</v>
      </c>
      <c r="O101" s="43">
        <f>K101*1625088/N101/(1024*1024)</f>
        <v>4.959375</v>
      </c>
      <c r="P101" s="48">
        <f t="shared" si="19"/>
        <v>0.17400518229166664</v>
      </c>
      <c r="Q101" s="48">
        <f>O101*62.9/3600</f>
        <v>0.08665130208333333</v>
      </c>
      <c r="R101" s="48">
        <f>O101*42.139/3600</f>
        <v>0.05805086197916666</v>
      </c>
      <c r="S101" s="76" t="s">
        <v>371</v>
      </c>
      <c r="T101" s="130" t="s">
        <v>182</v>
      </c>
      <c r="U101" s="29" t="s">
        <v>386</v>
      </c>
      <c r="V101" s="13" t="s">
        <v>43</v>
      </c>
    </row>
    <row r="102" spans="1:22" ht="12.75">
      <c r="A102" s="18" t="s">
        <v>292</v>
      </c>
      <c r="B102" s="38"/>
      <c r="C102" s="19"/>
      <c r="D102" s="20">
        <v>36559</v>
      </c>
      <c r="E102" s="78" t="s">
        <v>201</v>
      </c>
      <c r="F102" s="22">
        <v>0.7083333333333334</v>
      </c>
      <c r="G102" s="21"/>
      <c r="H102" s="53"/>
      <c r="I102" s="21"/>
      <c r="J102" s="23"/>
      <c r="K102" s="21"/>
      <c r="L102" s="21"/>
      <c r="M102" s="21"/>
      <c r="N102" s="21"/>
      <c r="O102" s="45"/>
      <c r="P102" s="50"/>
      <c r="Q102" s="50"/>
      <c r="R102" s="50"/>
      <c r="S102" s="78"/>
      <c r="T102" s="131"/>
      <c r="U102" s="31"/>
      <c r="V102" s="19"/>
    </row>
    <row r="103" spans="1:22" ht="38.25">
      <c r="A103" s="13" t="s">
        <v>209</v>
      </c>
      <c r="B103" s="34"/>
      <c r="C103" s="13" t="s">
        <v>357</v>
      </c>
      <c r="D103" s="14">
        <v>36559</v>
      </c>
      <c r="E103" s="76" t="s">
        <v>201</v>
      </c>
      <c r="F103" s="16">
        <v>0.75</v>
      </c>
      <c r="G103" s="16">
        <v>0.013888888888888888</v>
      </c>
      <c r="H103" s="51">
        <f aca="true" t="shared" si="20" ref="H103:H116">SUM(F103:G103)</f>
        <v>0.7638888888888888</v>
      </c>
      <c r="I103" s="16" t="s">
        <v>294</v>
      </c>
      <c r="J103" s="17">
        <v>12</v>
      </c>
      <c r="K103" s="15">
        <v>8</v>
      </c>
      <c r="L103" s="15" t="s">
        <v>285</v>
      </c>
      <c r="M103" s="15">
        <v>0</v>
      </c>
      <c r="N103" s="15">
        <v>2.5</v>
      </c>
      <c r="O103" s="43">
        <f>2*K103*1625088/N103/(1024*1024)</f>
        <v>9.91875</v>
      </c>
      <c r="P103" s="48">
        <f>O103*126.31/3600</f>
        <v>0.3480103645833333</v>
      </c>
      <c r="Q103" s="48">
        <f>O103*62.9/3600</f>
        <v>0.17330260416666665</v>
      </c>
      <c r="R103" s="48">
        <f>O103*42.139/3600</f>
        <v>0.11610172395833332</v>
      </c>
      <c r="S103" s="76" t="s">
        <v>371</v>
      </c>
      <c r="T103" s="130" t="s">
        <v>182</v>
      </c>
      <c r="U103" s="29" t="s">
        <v>387</v>
      </c>
      <c r="V103" s="13" t="s">
        <v>43</v>
      </c>
    </row>
    <row r="104" spans="1:22" ht="38.25">
      <c r="A104" s="13" t="s">
        <v>429</v>
      </c>
      <c r="B104" s="34"/>
      <c r="C104" s="13" t="s">
        <v>357</v>
      </c>
      <c r="D104" s="14">
        <v>36559</v>
      </c>
      <c r="E104" s="76" t="s">
        <v>201</v>
      </c>
      <c r="F104" s="16">
        <v>0.875</v>
      </c>
      <c r="G104" s="16">
        <v>0.013888888888888888</v>
      </c>
      <c r="H104" s="51">
        <f t="shared" si="20"/>
        <v>0.8888888888888888</v>
      </c>
      <c r="I104" s="16" t="s">
        <v>294</v>
      </c>
      <c r="J104" s="17">
        <v>12</v>
      </c>
      <c r="K104" s="15">
        <v>8</v>
      </c>
      <c r="L104" s="15" t="s">
        <v>285</v>
      </c>
      <c r="M104" s="15">
        <v>0</v>
      </c>
      <c r="N104" s="15">
        <v>2.5</v>
      </c>
      <c r="O104" s="43">
        <f>2*K104*1625088/N104/(1024*1024)</f>
        <v>9.91875</v>
      </c>
      <c r="P104" s="48">
        <f>O104*126.31/3600</f>
        <v>0.3480103645833333</v>
      </c>
      <c r="Q104" s="48">
        <f>O104*62.9/3600</f>
        <v>0.17330260416666665</v>
      </c>
      <c r="R104" s="48">
        <f>O104*42.139/3600</f>
        <v>0.11610172395833332</v>
      </c>
      <c r="S104" s="76" t="s">
        <v>371</v>
      </c>
      <c r="T104" s="130" t="s">
        <v>182</v>
      </c>
      <c r="U104" s="29" t="s">
        <v>388</v>
      </c>
      <c r="V104" s="13" t="s">
        <v>43</v>
      </c>
    </row>
    <row r="105" spans="1:22" ht="12.75">
      <c r="A105" s="105" t="s">
        <v>342</v>
      </c>
      <c r="B105" s="40">
        <v>43</v>
      </c>
      <c r="C105" s="106"/>
      <c r="D105" s="107">
        <v>36559</v>
      </c>
      <c r="E105" s="108" t="s">
        <v>201</v>
      </c>
      <c r="F105" s="109">
        <v>0.8958333333333334</v>
      </c>
      <c r="G105" s="109">
        <v>0.16666666666666666</v>
      </c>
      <c r="H105" s="104">
        <f t="shared" si="20"/>
        <v>1.0625</v>
      </c>
      <c r="I105" s="110"/>
      <c r="J105" s="111"/>
      <c r="K105" s="110"/>
      <c r="L105" s="110"/>
      <c r="M105" s="110"/>
      <c r="N105" s="110"/>
      <c r="O105" s="113">
        <f>O104</f>
        <v>9.91875</v>
      </c>
      <c r="P105" s="113">
        <f>P104</f>
        <v>0.3480103645833333</v>
      </c>
      <c r="Q105" s="113">
        <f>Q104</f>
        <v>0.17330260416666665</v>
      </c>
      <c r="R105" s="113">
        <f>R104</f>
        <v>0.11610172395833332</v>
      </c>
      <c r="S105" s="114"/>
      <c r="T105" s="124"/>
      <c r="U105" s="115"/>
      <c r="V105" s="116"/>
    </row>
    <row r="106" spans="1:22" ht="38.25">
      <c r="A106" s="13" t="s">
        <v>352</v>
      </c>
      <c r="B106" s="34"/>
      <c r="C106" s="13" t="s">
        <v>357</v>
      </c>
      <c r="D106" s="14">
        <v>36560</v>
      </c>
      <c r="E106" s="76" t="s">
        <v>202</v>
      </c>
      <c r="F106" s="16">
        <v>0.0763888888888889</v>
      </c>
      <c r="G106" s="16">
        <v>0.013888888888888888</v>
      </c>
      <c r="H106" s="51">
        <f t="shared" si="20"/>
        <v>0.09027777777777779</v>
      </c>
      <c r="I106" s="16" t="s">
        <v>324</v>
      </c>
      <c r="J106" s="17">
        <v>12</v>
      </c>
      <c r="K106" s="15">
        <v>8</v>
      </c>
      <c r="L106" s="15" t="s">
        <v>285</v>
      </c>
      <c r="M106" s="15">
        <v>0</v>
      </c>
      <c r="N106" s="15">
        <v>2.5</v>
      </c>
      <c r="O106" s="43">
        <f>K106*1625088/N106/(1024*1024)</f>
        <v>4.959375</v>
      </c>
      <c r="P106" s="48">
        <f>O106*126.31/3600</f>
        <v>0.17400518229166664</v>
      </c>
      <c r="Q106" s="48">
        <f>O106*62.9/3600</f>
        <v>0.08665130208333333</v>
      </c>
      <c r="R106" s="48">
        <f>O106*42.139/3600</f>
        <v>0.05805086197916666</v>
      </c>
      <c r="S106" s="76" t="s">
        <v>371</v>
      </c>
      <c r="T106" s="130" t="s">
        <v>182</v>
      </c>
      <c r="U106" s="29" t="s">
        <v>58</v>
      </c>
      <c r="V106" s="13" t="s">
        <v>43</v>
      </c>
    </row>
    <row r="107" spans="1:22" ht="38.25">
      <c r="A107" s="298" t="s">
        <v>369</v>
      </c>
      <c r="B107" s="297"/>
      <c r="C107" s="298" t="s">
        <v>54</v>
      </c>
      <c r="D107" s="312">
        <v>36560</v>
      </c>
      <c r="E107" s="308" t="s">
        <v>202</v>
      </c>
      <c r="F107" s="302">
        <v>0.2638888888888889</v>
      </c>
      <c r="G107" s="302">
        <v>0.22916666666666666</v>
      </c>
      <c r="H107" s="303">
        <f t="shared" si="20"/>
        <v>0.4930555555555556</v>
      </c>
      <c r="I107" s="304"/>
      <c r="J107" s="305">
        <v>8</v>
      </c>
      <c r="K107" s="304">
        <v>26</v>
      </c>
      <c r="L107" s="304">
        <v>18</v>
      </c>
      <c r="M107" s="304">
        <v>4</v>
      </c>
      <c r="N107" s="304">
        <v>4</v>
      </c>
      <c r="O107" s="306">
        <f>K107*1625088/N107/(1024*1024)</f>
        <v>10.07373046875</v>
      </c>
      <c r="P107" s="307">
        <f>O107*126.31/3600</f>
        <v>0.3534480265299479</v>
      </c>
      <c r="Q107" s="307">
        <f>O107*62.9/3600</f>
        <v>0.17601045735677082</v>
      </c>
      <c r="R107" s="307">
        <f>O107*42.139/3600</f>
        <v>0.1179158133951823</v>
      </c>
      <c r="S107" s="308" t="s">
        <v>371</v>
      </c>
      <c r="T107" s="309" t="s">
        <v>182</v>
      </c>
      <c r="U107" s="310" t="s">
        <v>370</v>
      </c>
      <c r="V107" s="298" t="s">
        <v>43</v>
      </c>
    </row>
    <row r="108" spans="1:22" ht="12.75">
      <c r="A108" s="161" t="s">
        <v>228</v>
      </c>
      <c r="B108" s="36">
        <v>63</v>
      </c>
      <c r="C108" s="162"/>
      <c r="D108" s="163">
        <v>36560</v>
      </c>
      <c r="E108" s="164" t="s">
        <v>202</v>
      </c>
      <c r="F108" s="165">
        <v>0.5243055555555556</v>
      </c>
      <c r="G108" s="165">
        <v>0.2916666666666667</v>
      </c>
      <c r="H108" s="166">
        <f>SUM(F108:G108)</f>
        <v>0.8159722222222223</v>
      </c>
      <c r="I108" s="167"/>
      <c r="J108" s="168"/>
      <c r="K108" s="167"/>
      <c r="L108" s="167"/>
      <c r="M108" s="167"/>
      <c r="N108" s="167"/>
      <c r="O108" s="169">
        <f>SUM(O105:O106)</f>
        <v>14.878124999999999</v>
      </c>
      <c r="P108" s="169">
        <f>SUM(P105:P106)</f>
        <v>0.522015546875</v>
      </c>
      <c r="Q108" s="169">
        <f>SUM(Q105:Q106)</f>
        <v>0.25995390625</v>
      </c>
      <c r="R108" s="169">
        <f>SUM(R105:R106)</f>
        <v>0.1741525859375</v>
      </c>
      <c r="S108" s="170"/>
      <c r="T108" s="171"/>
      <c r="U108" s="172"/>
      <c r="V108" s="173"/>
    </row>
    <row r="109" spans="1:22" ht="38.25">
      <c r="A109" s="13" t="s">
        <v>232</v>
      </c>
      <c r="B109" s="34"/>
      <c r="C109" s="13" t="s">
        <v>357</v>
      </c>
      <c r="D109" s="14">
        <v>36560</v>
      </c>
      <c r="E109" s="76" t="s">
        <v>202</v>
      </c>
      <c r="F109" s="16">
        <v>0.8298611111111112</v>
      </c>
      <c r="G109" s="16">
        <v>0.013888888888888888</v>
      </c>
      <c r="H109" s="51">
        <f>SUM(F109:G109)</f>
        <v>0.84375</v>
      </c>
      <c r="I109" s="16" t="s">
        <v>324</v>
      </c>
      <c r="J109" s="17">
        <v>12</v>
      </c>
      <c r="K109" s="15">
        <v>8</v>
      </c>
      <c r="L109" s="15" t="s">
        <v>285</v>
      </c>
      <c r="M109" s="15">
        <v>4</v>
      </c>
      <c r="N109" s="15">
        <v>2.3</v>
      </c>
      <c r="O109" s="43">
        <f>K109*1625088/N109/(1024*1024)</f>
        <v>5.390625</v>
      </c>
      <c r="P109" s="48">
        <f>O109*126.31/3600</f>
        <v>0.18913606770833336</v>
      </c>
      <c r="Q109" s="48">
        <f>O109*62.9/3600</f>
        <v>0.09418619791666667</v>
      </c>
      <c r="R109" s="48">
        <f>O109*42.139/3600</f>
        <v>0.06309876302083334</v>
      </c>
      <c r="S109" s="76" t="s">
        <v>372</v>
      </c>
      <c r="T109" s="130" t="s">
        <v>182</v>
      </c>
      <c r="U109" s="29" t="s">
        <v>59</v>
      </c>
      <c r="V109" s="13" t="s">
        <v>43</v>
      </c>
    </row>
    <row r="110" spans="1:22" ht="38.25">
      <c r="A110" s="13" t="s">
        <v>233</v>
      </c>
      <c r="B110" s="34"/>
      <c r="C110" s="13" t="s">
        <v>357</v>
      </c>
      <c r="D110" s="14">
        <v>36561</v>
      </c>
      <c r="E110" s="76" t="s">
        <v>203</v>
      </c>
      <c r="F110" s="16">
        <v>0</v>
      </c>
      <c r="G110" s="16">
        <v>0.013888888888888888</v>
      </c>
      <c r="H110" s="51">
        <f t="shared" si="20"/>
        <v>0.013888888888888888</v>
      </c>
      <c r="I110" s="16" t="s">
        <v>324</v>
      </c>
      <c r="J110" s="17">
        <v>12</v>
      </c>
      <c r="K110" s="15">
        <v>8</v>
      </c>
      <c r="L110" s="15" t="s">
        <v>285</v>
      </c>
      <c r="M110" s="15">
        <v>4</v>
      </c>
      <c r="N110" s="15">
        <v>2.3</v>
      </c>
      <c r="O110" s="43">
        <f>K110*1625088/N110/(1024*1024)</f>
        <v>5.390625</v>
      </c>
      <c r="P110" s="48">
        <f aca="true" t="shared" si="21" ref="P110:P118">O110*126.31/3600</f>
        <v>0.18913606770833336</v>
      </c>
      <c r="Q110" s="48">
        <f aca="true" t="shared" si="22" ref="Q110:Q118">O110*62.9/3600</f>
        <v>0.09418619791666667</v>
      </c>
      <c r="R110" s="48">
        <f aca="true" t="shared" si="23" ref="R110:R118">O110*42.139/3600</f>
        <v>0.06309876302083334</v>
      </c>
      <c r="S110" s="76" t="s">
        <v>372</v>
      </c>
      <c r="T110" s="130" t="s">
        <v>182</v>
      </c>
      <c r="U110" s="29" t="s">
        <v>60</v>
      </c>
      <c r="V110" s="13" t="s">
        <v>43</v>
      </c>
    </row>
    <row r="111" spans="1:22" ht="39.75" customHeight="1">
      <c r="A111" s="324" t="s">
        <v>170</v>
      </c>
      <c r="B111" s="325"/>
      <c r="C111" s="324" t="s">
        <v>364</v>
      </c>
      <c r="D111" s="326">
        <v>36561</v>
      </c>
      <c r="E111" s="327" t="s">
        <v>203</v>
      </c>
      <c r="F111" s="328">
        <v>0.041666666666666664</v>
      </c>
      <c r="G111" s="328">
        <v>0.125</v>
      </c>
      <c r="H111" s="329">
        <f t="shared" si="20"/>
        <v>0.16666666666666666</v>
      </c>
      <c r="I111" s="330"/>
      <c r="J111" s="331"/>
      <c r="K111" s="330">
        <v>7367</v>
      </c>
      <c r="L111" s="330"/>
      <c r="M111" s="330"/>
      <c r="N111" s="330"/>
      <c r="O111" s="332">
        <f>K111*2864/2.5/1000000</f>
        <v>8.4396352</v>
      </c>
      <c r="P111" s="333">
        <f t="shared" si="21"/>
        <v>0.2961139783644445</v>
      </c>
      <c r="Q111" s="333">
        <f>P111*62.9/3600</f>
        <v>0.005173769233089877</v>
      </c>
      <c r="R111" s="333">
        <f>Q111*42.139/3600</f>
        <v>6.0560406031437316E-05</v>
      </c>
      <c r="S111" s="327" t="s">
        <v>372</v>
      </c>
      <c r="T111" s="295" t="s">
        <v>182</v>
      </c>
      <c r="U111" s="334" t="s">
        <v>171</v>
      </c>
      <c r="V111" s="324" t="s">
        <v>43</v>
      </c>
    </row>
    <row r="112" spans="1:22" ht="38.25">
      <c r="A112" s="298" t="s">
        <v>55</v>
      </c>
      <c r="B112" s="297"/>
      <c r="C112" s="298" t="s">
        <v>364</v>
      </c>
      <c r="D112" s="312">
        <v>36561</v>
      </c>
      <c r="E112" s="308" t="s">
        <v>203</v>
      </c>
      <c r="F112" s="302">
        <v>0.041666666666666664</v>
      </c>
      <c r="G112" s="302">
        <v>0.125</v>
      </c>
      <c r="H112" s="303">
        <f t="shared" si="20"/>
        <v>0.16666666666666666</v>
      </c>
      <c r="I112" s="304"/>
      <c r="J112" s="305">
        <v>8</v>
      </c>
      <c r="K112" s="304">
        <v>35</v>
      </c>
      <c r="L112" s="304">
        <v>18</v>
      </c>
      <c r="M112" s="304">
        <v>0</v>
      </c>
      <c r="N112" s="304">
        <v>4</v>
      </c>
      <c r="O112" s="306">
        <f>K112*1625088/N112/(1024*1024)</f>
        <v>13.560791015625</v>
      </c>
      <c r="P112" s="307">
        <f t="shared" si="21"/>
        <v>0.47579542032877603</v>
      </c>
      <c r="Q112" s="307">
        <f>O112*62.9/3600</f>
        <v>0.2369371541341146</v>
      </c>
      <c r="R112" s="307">
        <f>O112*42.139/3600</f>
        <v>0.15873282572428388</v>
      </c>
      <c r="S112" s="308" t="s">
        <v>372</v>
      </c>
      <c r="T112" s="309" t="s">
        <v>182</v>
      </c>
      <c r="U112" s="298" t="s">
        <v>172</v>
      </c>
      <c r="V112" s="298" t="s">
        <v>43</v>
      </c>
    </row>
    <row r="113" spans="1:22" ht="38.25">
      <c r="A113" s="13" t="s">
        <v>229</v>
      </c>
      <c r="B113" s="34"/>
      <c r="C113" s="13" t="s">
        <v>357</v>
      </c>
      <c r="D113" s="14">
        <v>36561</v>
      </c>
      <c r="E113" s="76" t="s">
        <v>203</v>
      </c>
      <c r="F113" s="16">
        <v>0.20486111111111113</v>
      </c>
      <c r="G113" s="16">
        <v>0.008333333333333333</v>
      </c>
      <c r="H113" s="51">
        <f>SUM(F113:G113)</f>
        <v>0.21319444444444446</v>
      </c>
      <c r="I113" s="16" t="s">
        <v>294</v>
      </c>
      <c r="J113" s="17">
        <v>12</v>
      </c>
      <c r="K113" s="15">
        <v>8</v>
      </c>
      <c r="L113" s="15" t="s">
        <v>285</v>
      </c>
      <c r="M113" s="15">
        <v>4</v>
      </c>
      <c r="N113" s="15">
        <v>2.3</v>
      </c>
      <c r="O113" s="43">
        <f>K113*1625088/N113/(1024*1024)</f>
        <v>5.390625</v>
      </c>
      <c r="P113" s="48">
        <f>O113*126.31/3600</f>
        <v>0.18913606770833336</v>
      </c>
      <c r="Q113" s="48">
        <f>O113*62.9/3600</f>
        <v>0.09418619791666667</v>
      </c>
      <c r="R113" s="48">
        <f>O113*42.139/3600</f>
        <v>0.06309876302083334</v>
      </c>
      <c r="S113" s="76" t="s">
        <v>372</v>
      </c>
      <c r="T113" s="130" t="s">
        <v>182</v>
      </c>
      <c r="U113" s="29" t="s">
        <v>240</v>
      </c>
      <c r="V113" s="13" t="s">
        <v>43</v>
      </c>
    </row>
    <row r="114" spans="1:22" ht="12.75">
      <c r="A114" s="105" t="s">
        <v>342</v>
      </c>
      <c r="B114" s="40">
        <v>63</v>
      </c>
      <c r="C114" s="106"/>
      <c r="D114" s="107">
        <v>36561</v>
      </c>
      <c r="E114" s="108" t="s">
        <v>203</v>
      </c>
      <c r="F114" s="109">
        <v>0.2152777777777778</v>
      </c>
      <c r="G114" s="109">
        <v>0.2534722222222222</v>
      </c>
      <c r="H114" s="104">
        <f t="shared" si="20"/>
        <v>0.46875</v>
      </c>
      <c r="I114" s="110"/>
      <c r="J114" s="111"/>
      <c r="K114" s="110"/>
      <c r="L114" s="110"/>
      <c r="M114" s="110"/>
      <c r="N114" s="110"/>
      <c r="O114" s="113">
        <f>SUM(O110:O110)</f>
        <v>5.390625</v>
      </c>
      <c r="P114" s="113">
        <f>SUM(P110:P110)</f>
        <v>0.18913606770833336</v>
      </c>
      <c r="Q114" s="113">
        <f>SUM(Q110:Q110)</f>
        <v>0.09418619791666667</v>
      </c>
      <c r="R114" s="113">
        <f>SUM(R110:R110)</f>
        <v>0.06309876302083334</v>
      </c>
      <c r="S114" s="114"/>
      <c r="T114" s="124"/>
      <c r="U114" s="115"/>
      <c r="V114" s="116"/>
    </row>
    <row r="115" spans="1:22" ht="38.25">
      <c r="A115" s="13" t="s">
        <v>433</v>
      </c>
      <c r="B115" s="34"/>
      <c r="C115" s="13" t="s">
        <v>357</v>
      </c>
      <c r="D115" s="14">
        <v>36561</v>
      </c>
      <c r="E115" s="76" t="s">
        <v>203</v>
      </c>
      <c r="F115" s="16">
        <v>0.4826388888888889</v>
      </c>
      <c r="G115" s="16">
        <v>0.013888888888888888</v>
      </c>
      <c r="H115" s="51">
        <f t="shared" si="20"/>
        <v>0.4965277777777778</v>
      </c>
      <c r="I115" s="16" t="s">
        <v>324</v>
      </c>
      <c r="J115" s="17">
        <v>12</v>
      </c>
      <c r="K115" s="15">
        <v>8</v>
      </c>
      <c r="L115" s="15" t="s">
        <v>285</v>
      </c>
      <c r="M115" s="15">
        <v>4</v>
      </c>
      <c r="N115" s="15">
        <v>2.3</v>
      </c>
      <c r="O115" s="43">
        <f>K115*1625088/N115/(1024*1024)</f>
        <v>5.390625</v>
      </c>
      <c r="P115" s="48">
        <f t="shared" si="21"/>
        <v>0.18913606770833336</v>
      </c>
      <c r="Q115" s="48">
        <f t="shared" si="22"/>
        <v>0.09418619791666667</v>
      </c>
      <c r="R115" s="48">
        <f t="shared" si="23"/>
        <v>0.06309876302083334</v>
      </c>
      <c r="S115" s="76" t="s">
        <v>372</v>
      </c>
      <c r="T115" s="130" t="s">
        <v>182</v>
      </c>
      <c r="U115" s="29" t="s">
        <v>241</v>
      </c>
      <c r="V115" s="13" t="s">
        <v>43</v>
      </c>
    </row>
    <row r="116" spans="1:22" ht="38.25">
      <c r="A116" s="13" t="s">
        <v>236</v>
      </c>
      <c r="B116" s="34"/>
      <c r="C116" s="13" t="s">
        <v>357</v>
      </c>
      <c r="D116" s="14">
        <v>36561</v>
      </c>
      <c r="E116" s="76" t="s">
        <v>203</v>
      </c>
      <c r="F116" s="16">
        <v>0.75</v>
      </c>
      <c r="G116" s="16">
        <v>0.013888888888888888</v>
      </c>
      <c r="H116" s="51">
        <f t="shared" si="20"/>
        <v>0.7638888888888888</v>
      </c>
      <c r="I116" s="16" t="s">
        <v>324</v>
      </c>
      <c r="J116" s="17">
        <v>12</v>
      </c>
      <c r="K116" s="15">
        <v>8</v>
      </c>
      <c r="L116" s="15" t="s">
        <v>285</v>
      </c>
      <c r="M116" s="15">
        <v>4</v>
      </c>
      <c r="N116" s="15">
        <v>2.3</v>
      </c>
      <c r="O116" s="43">
        <f>K116*1625088/N116/(1024*1024)</f>
        <v>5.390625</v>
      </c>
      <c r="P116" s="48">
        <f t="shared" si="21"/>
        <v>0.18913606770833336</v>
      </c>
      <c r="Q116" s="48">
        <f>O116*62.9/3600</f>
        <v>0.09418619791666667</v>
      </c>
      <c r="R116" s="48">
        <f>O116*42.139/3600</f>
        <v>0.06309876302083334</v>
      </c>
      <c r="S116" s="76" t="s">
        <v>372</v>
      </c>
      <c r="T116" s="130" t="s">
        <v>182</v>
      </c>
      <c r="U116" s="29" t="s">
        <v>242</v>
      </c>
      <c r="V116" s="13" t="s">
        <v>43</v>
      </c>
    </row>
    <row r="117" spans="1:22" ht="38.25">
      <c r="A117" s="13" t="s">
        <v>237</v>
      </c>
      <c r="B117" s="34"/>
      <c r="C117" s="13" t="s">
        <v>357</v>
      </c>
      <c r="D117" s="14">
        <v>36562</v>
      </c>
      <c r="E117" s="76" t="s">
        <v>204</v>
      </c>
      <c r="F117" s="16">
        <v>0.041666666666666664</v>
      </c>
      <c r="G117" s="16">
        <v>0.013888888888888888</v>
      </c>
      <c r="H117" s="51">
        <f aca="true" t="shared" si="24" ref="H117:H130">SUM(F117:G117)</f>
        <v>0.05555555555555555</v>
      </c>
      <c r="I117" s="16" t="s">
        <v>324</v>
      </c>
      <c r="J117" s="17">
        <v>12</v>
      </c>
      <c r="K117" s="15">
        <v>8</v>
      </c>
      <c r="L117" s="15" t="s">
        <v>285</v>
      </c>
      <c r="M117" s="15">
        <v>4</v>
      </c>
      <c r="N117" s="15">
        <v>2.3</v>
      </c>
      <c r="O117" s="43">
        <f>K117*1625088/N117/(1024*1024)</f>
        <v>5.390625</v>
      </c>
      <c r="P117" s="48">
        <f t="shared" si="21"/>
        <v>0.18913606770833336</v>
      </c>
      <c r="Q117" s="48">
        <f t="shared" si="22"/>
        <v>0.09418619791666667</v>
      </c>
      <c r="R117" s="48">
        <f t="shared" si="23"/>
        <v>0.06309876302083334</v>
      </c>
      <c r="S117" s="76" t="s">
        <v>372</v>
      </c>
      <c r="T117" s="130" t="s">
        <v>182</v>
      </c>
      <c r="U117" s="29" t="s">
        <v>243</v>
      </c>
      <c r="V117" s="13" t="s">
        <v>43</v>
      </c>
    </row>
    <row r="118" spans="1:22" ht="38.25">
      <c r="A118" s="298" t="s">
        <v>368</v>
      </c>
      <c r="B118" s="297"/>
      <c r="C118" s="298" t="s">
        <v>54</v>
      </c>
      <c r="D118" s="312">
        <v>36562</v>
      </c>
      <c r="E118" s="308" t="s">
        <v>204</v>
      </c>
      <c r="F118" s="302">
        <v>0.07291666666666667</v>
      </c>
      <c r="G118" s="302">
        <v>0.24583333333333335</v>
      </c>
      <c r="H118" s="303">
        <f t="shared" si="24"/>
        <v>0.31875000000000003</v>
      </c>
      <c r="I118" s="304"/>
      <c r="J118" s="305">
        <v>8</v>
      </c>
      <c r="K118" s="304">
        <v>780</v>
      </c>
      <c r="L118" s="304">
        <v>18</v>
      </c>
      <c r="M118" s="304">
        <v>4</v>
      </c>
      <c r="N118" s="304">
        <v>4</v>
      </c>
      <c r="O118" s="306">
        <f>K118*1625088/N118/(1024*1024)</f>
        <v>302.2119140625</v>
      </c>
      <c r="P118" s="307">
        <f t="shared" si="21"/>
        <v>10.603440795898438</v>
      </c>
      <c r="Q118" s="307">
        <f t="shared" si="22"/>
        <v>5.280313720703125</v>
      </c>
      <c r="R118" s="307">
        <f t="shared" si="23"/>
        <v>3.5374744018554694</v>
      </c>
      <c r="S118" s="308" t="s">
        <v>372</v>
      </c>
      <c r="T118" s="309" t="s">
        <v>182</v>
      </c>
      <c r="U118" s="310" t="s">
        <v>283</v>
      </c>
      <c r="V118" s="298" t="s">
        <v>43</v>
      </c>
    </row>
    <row r="119" spans="1:22" ht="25.5">
      <c r="A119" s="286" t="s">
        <v>373</v>
      </c>
      <c r="B119" s="35"/>
      <c r="C119" s="286" t="s">
        <v>54</v>
      </c>
      <c r="D119" s="287">
        <v>36562</v>
      </c>
      <c r="E119" s="288" t="s">
        <v>204</v>
      </c>
      <c r="F119" s="289">
        <v>0.07291666666666667</v>
      </c>
      <c r="G119" s="289">
        <v>0.24583333333333335</v>
      </c>
      <c r="H119" s="290">
        <f>SUM(F119:G119)</f>
        <v>0.31875000000000003</v>
      </c>
      <c r="I119" s="291"/>
      <c r="J119" s="292"/>
      <c r="K119" s="291">
        <v>1575</v>
      </c>
      <c r="L119" s="291"/>
      <c r="M119" s="291"/>
      <c r="N119" s="291"/>
      <c r="O119" s="293">
        <f>K119*2864/2.5/1000000</f>
        <v>1.80432</v>
      </c>
      <c r="P119" s="294">
        <f>O119*126.31/3600</f>
        <v>0.06330657199999999</v>
      </c>
      <c r="Q119" s="294">
        <f>P119*62.9/3600</f>
        <v>0.001106106494111111</v>
      </c>
      <c r="R119" s="294">
        <f>Q119*42.139/3600</f>
        <v>1.2947283765374474E-05</v>
      </c>
      <c r="S119" s="288" t="s">
        <v>372</v>
      </c>
      <c r="T119" s="295" t="s">
        <v>182</v>
      </c>
      <c r="U119" s="296" t="s">
        <v>167</v>
      </c>
      <c r="V119" s="286" t="s">
        <v>43</v>
      </c>
    </row>
    <row r="120" spans="1:22" ht="38.25">
      <c r="A120" s="5" t="s">
        <v>168</v>
      </c>
      <c r="B120" s="33"/>
      <c r="C120" s="5" t="s">
        <v>54</v>
      </c>
      <c r="D120" s="9">
        <v>36562</v>
      </c>
      <c r="E120" s="75" t="s">
        <v>204</v>
      </c>
      <c r="F120" s="11">
        <v>0.3541666666666667</v>
      </c>
      <c r="G120" s="11">
        <v>0.24583333333333335</v>
      </c>
      <c r="H120" s="52">
        <f>SUM(F120:G120)</f>
        <v>0.6000000000000001</v>
      </c>
      <c r="I120" s="10"/>
      <c r="J120" s="12">
        <v>12</v>
      </c>
      <c r="K120" s="10">
        <v>616</v>
      </c>
      <c r="L120" s="10">
        <v>25</v>
      </c>
      <c r="M120" s="10" t="s">
        <v>210</v>
      </c>
      <c r="N120" s="10">
        <v>2.5</v>
      </c>
      <c r="O120" s="44">
        <f>K120*1625088/N120/(1024*1024)</f>
        <v>381.871875</v>
      </c>
      <c r="P120" s="49">
        <f>O120*126.31/3600</f>
        <v>13.398399036458333</v>
      </c>
      <c r="Q120" s="49">
        <f>O120*62.9/3600</f>
        <v>6.672150260416666</v>
      </c>
      <c r="R120" s="49">
        <f>O120*42.139/3600</f>
        <v>4.469916372395834</v>
      </c>
      <c r="S120" s="75" t="s">
        <v>372</v>
      </c>
      <c r="T120" s="126" t="s">
        <v>182</v>
      </c>
      <c r="U120" s="30" t="s">
        <v>169</v>
      </c>
      <c r="V120" s="5" t="s">
        <v>43</v>
      </c>
    </row>
    <row r="121" spans="1:22" ht="38.25">
      <c r="A121" s="13" t="s">
        <v>41</v>
      </c>
      <c r="B121" s="34"/>
      <c r="C121" s="13" t="s">
        <v>357</v>
      </c>
      <c r="D121" s="14">
        <v>36562</v>
      </c>
      <c r="E121" s="76" t="s">
        <v>204</v>
      </c>
      <c r="F121" s="16">
        <v>0.7430555555555555</v>
      </c>
      <c r="G121" s="16">
        <v>0.008333333333333333</v>
      </c>
      <c r="H121" s="51">
        <f>SUM(F121:G121)</f>
        <v>0.7513888888888888</v>
      </c>
      <c r="I121" s="16" t="s">
        <v>324</v>
      </c>
      <c r="J121" s="17">
        <v>12</v>
      </c>
      <c r="K121" s="15">
        <v>8</v>
      </c>
      <c r="L121" s="15" t="s">
        <v>285</v>
      </c>
      <c r="M121" s="15">
        <v>4</v>
      </c>
      <c r="N121" s="15">
        <v>2.3</v>
      </c>
      <c r="O121" s="43">
        <f>K121*1625088/N121/(1024*1024)</f>
        <v>5.390625</v>
      </c>
      <c r="P121" s="48">
        <f>O121*126.31/3600</f>
        <v>0.18913606770833336</v>
      </c>
      <c r="Q121" s="48">
        <f>O121*62.9/3600</f>
        <v>0.09418619791666667</v>
      </c>
      <c r="R121" s="48">
        <f>O121*42.139/3600</f>
        <v>0.06309876302083334</v>
      </c>
      <c r="S121" s="76" t="s">
        <v>372</v>
      </c>
      <c r="T121" s="130" t="s">
        <v>182</v>
      </c>
      <c r="U121" s="29" t="s">
        <v>244</v>
      </c>
      <c r="V121" s="13" t="s">
        <v>43</v>
      </c>
    </row>
    <row r="122" spans="1:22" ht="13.5" thickBot="1">
      <c r="A122" s="152" t="s">
        <v>342</v>
      </c>
      <c r="B122" s="134">
        <v>43</v>
      </c>
      <c r="C122" s="153"/>
      <c r="D122" s="154">
        <v>36562</v>
      </c>
      <c r="E122" s="155" t="s">
        <v>204</v>
      </c>
      <c r="F122" s="138">
        <v>0.7534722222222222</v>
      </c>
      <c r="G122" s="138">
        <v>0.4548611111111111</v>
      </c>
      <c r="H122" s="139">
        <f>SUM(F122:G122)</f>
        <v>1.2083333333333333</v>
      </c>
      <c r="I122" s="132"/>
      <c r="J122" s="140"/>
      <c r="K122" s="132"/>
      <c r="L122" s="132"/>
      <c r="M122" s="132"/>
      <c r="N122" s="132"/>
      <c r="O122" s="133">
        <f>SUM(O117:O121)</f>
        <v>696.6693590625</v>
      </c>
      <c r="P122" s="133">
        <f>SUM(P117:P121)</f>
        <v>24.443418539773436</v>
      </c>
      <c r="Q122" s="133">
        <f>SUM(Q117:Q121)</f>
        <v>12.141942483447236</v>
      </c>
      <c r="R122" s="133">
        <f>SUM(R117:R121)</f>
        <v>8.133601247576737</v>
      </c>
      <c r="S122" s="137"/>
      <c r="T122" s="156"/>
      <c r="U122" s="157"/>
      <c r="V122" s="135"/>
    </row>
    <row r="123" spans="1:22" ht="38.25">
      <c r="A123" s="54" t="s">
        <v>419</v>
      </c>
      <c r="B123" s="55"/>
      <c r="C123" s="54" t="s">
        <v>357</v>
      </c>
      <c r="D123" s="80">
        <v>36563</v>
      </c>
      <c r="E123" s="77" t="s">
        <v>205</v>
      </c>
      <c r="F123" s="57">
        <v>0.2298611111111111</v>
      </c>
      <c r="G123" s="16">
        <v>0.013888888888888888</v>
      </c>
      <c r="H123" s="58">
        <f t="shared" si="24"/>
        <v>0.24375</v>
      </c>
      <c r="I123" s="57" t="s">
        <v>324</v>
      </c>
      <c r="J123" s="59">
        <v>12</v>
      </c>
      <c r="K123" s="56">
        <v>8</v>
      </c>
      <c r="L123" s="56" t="s">
        <v>285</v>
      </c>
      <c r="M123" s="56">
        <v>0</v>
      </c>
      <c r="N123" s="56">
        <v>2.5</v>
      </c>
      <c r="O123" s="79">
        <f>K123*1625088/N123/(1024*1024)</f>
        <v>4.959375</v>
      </c>
      <c r="P123" s="60">
        <f aca="true" t="shared" si="25" ref="P123:P130">O123*126.31/3600</f>
        <v>0.17400518229166664</v>
      </c>
      <c r="Q123" s="60">
        <f aca="true" t="shared" si="26" ref="Q123:Q130">O123*62.9/3600</f>
        <v>0.08665130208333333</v>
      </c>
      <c r="R123" s="60">
        <f aca="true" t="shared" si="27" ref="R123:R130">O123*42.139/3600</f>
        <v>0.05805086197916666</v>
      </c>
      <c r="S123" s="77" t="s">
        <v>225</v>
      </c>
      <c r="T123" s="159" t="s">
        <v>182</v>
      </c>
      <c r="U123" s="61" t="s">
        <v>245</v>
      </c>
      <c r="V123" s="54" t="s">
        <v>43</v>
      </c>
    </row>
    <row r="124" spans="1:22" ht="38.25">
      <c r="A124" s="62" t="s">
        <v>331</v>
      </c>
      <c r="B124" s="63"/>
      <c r="C124" s="62" t="s">
        <v>54</v>
      </c>
      <c r="D124" s="64">
        <v>36563</v>
      </c>
      <c r="E124" s="74" t="s">
        <v>205</v>
      </c>
      <c r="F124" s="66">
        <v>0.25</v>
      </c>
      <c r="G124" s="66">
        <v>0.041666666666666664</v>
      </c>
      <c r="H124" s="67">
        <f>SUM(F124:G124)</f>
        <v>0.2916666666666667</v>
      </c>
      <c r="I124" s="66"/>
      <c r="J124" s="68">
        <v>12</v>
      </c>
      <c r="K124" s="65">
        <v>128</v>
      </c>
      <c r="L124" s="65" t="s">
        <v>284</v>
      </c>
      <c r="M124" s="65" t="s">
        <v>210</v>
      </c>
      <c r="N124" s="65">
        <v>2.5</v>
      </c>
      <c r="O124" s="69">
        <f>K124*1625088/N124/(1024*1024)</f>
        <v>79.35</v>
      </c>
      <c r="P124" s="70">
        <f t="shared" si="25"/>
        <v>2.7840829166666663</v>
      </c>
      <c r="Q124" s="70">
        <f t="shared" si="26"/>
        <v>1.3864208333333332</v>
      </c>
      <c r="R124" s="70">
        <f t="shared" si="27"/>
        <v>0.9288137916666666</v>
      </c>
      <c r="S124" s="74" t="s">
        <v>225</v>
      </c>
      <c r="T124" s="126" t="s">
        <v>185</v>
      </c>
      <c r="U124" s="71" t="s">
        <v>53</v>
      </c>
      <c r="V124" s="62" t="s">
        <v>43</v>
      </c>
    </row>
    <row r="125" spans="1:22" ht="25.5">
      <c r="A125" s="286" t="s">
        <v>405</v>
      </c>
      <c r="B125" s="35"/>
      <c r="C125" s="286" t="s">
        <v>364</v>
      </c>
      <c r="D125" s="287">
        <v>36563</v>
      </c>
      <c r="E125" s="288" t="s">
        <v>205</v>
      </c>
      <c r="F125" s="289">
        <v>0.3125</v>
      </c>
      <c r="G125" s="289">
        <v>0.022222222222222223</v>
      </c>
      <c r="H125" s="290">
        <f>SUM(F125:G125)</f>
        <v>0.3347222222222222</v>
      </c>
      <c r="I125" s="291"/>
      <c r="J125" s="292"/>
      <c r="K125" s="291">
        <v>100</v>
      </c>
      <c r="L125" s="291"/>
      <c r="M125" s="291"/>
      <c r="N125" s="291"/>
      <c r="O125" s="293">
        <f>K125*2864/2.5/1000000</f>
        <v>0.11456</v>
      </c>
      <c r="P125" s="294">
        <f>O125*126.31/3600</f>
        <v>0.004019464888888889</v>
      </c>
      <c r="Q125" s="294">
        <f>P125*62.9/3600</f>
        <v>7.022898375308642E-05</v>
      </c>
      <c r="R125" s="294">
        <f>Q125*42.139/3600</f>
        <v>8.22049762880919E-07</v>
      </c>
      <c r="S125" s="288" t="s">
        <v>225</v>
      </c>
      <c r="T125" s="295" t="s">
        <v>184</v>
      </c>
      <c r="U125" s="296" t="s">
        <v>406</v>
      </c>
      <c r="V125" s="286" t="s">
        <v>43</v>
      </c>
    </row>
    <row r="126" spans="1:22" ht="38.25">
      <c r="A126" s="13" t="s">
        <v>420</v>
      </c>
      <c r="B126" s="34"/>
      <c r="C126" s="13" t="s">
        <v>357</v>
      </c>
      <c r="D126" s="14">
        <v>36563</v>
      </c>
      <c r="E126" s="76" t="s">
        <v>205</v>
      </c>
      <c r="F126" s="16">
        <v>0.36875</v>
      </c>
      <c r="G126" s="16">
        <v>0.013888888888888888</v>
      </c>
      <c r="H126" s="51">
        <f t="shared" si="24"/>
        <v>0.3826388888888889</v>
      </c>
      <c r="I126" s="16" t="s">
        <v>324</v>
      </c>
      <c r="J126" s="17">
        <v>12</v>
      </c>
      <c r="K126" s="15">
        <v>8</v>
      </c>
      <c r="L126" s="15" t="s">
        <v>285</v>
      </c>
      <c r="M126" s="15">
        <v>0</v>
      </c>
      <c r="N126" s="15">
        <v>2.5</v>
      </c>
      <c r="O126" s="43">
        <f>K126*1625088/N126/(1024*1024)</f>
        <v>4.959375</v>
      </c>
      <c r="P126" s="48">
        <f t="shared" si="25"/>
        <v>0.17400518229166664</v>
      </c>
      <c r="Q126" s="48">
        <f t="shared" si="26"/>
        <v>0.08665130208333333</v>
      </c>
      <c r="R126" s="48">
        <f t="shared" si="27"/>
        <v>0.05805086197916666</v>
      </c>
      <c r="S126" s="76" t="s">
        <v>225</v>
      </c>
      <c r="T126" s="130" t="s">
        <v>182</v>
      </c>
      <c r="U126" s="29" t="s">
        <v>435</v>
      </c>
      <c r="V126" s="13" t="s">
        <v>43</v>
      </c>
    </row>
    <row r="127" spans="1:22" ht="38.25">
      <c r="A127" s="13" t="s">
        <v>421</v>
      </c>
      <c r="B127" s="34"/>
      <c r="C127" s="13" t="s">
        <v>357</v>
      </c>
      <c r="D127" s="14">
        <v>36563</v>
      </c>
      <c r="E127" s="76" t="s">
        <v>205</v>
      </c>
      <c r="F127" s="16">
        <v>0.5770833333333333</v>
      </c>
      <c r="G127" s="16">
        <v>0.013888888888888888</v>
      </c>
      <c r="H127" s="51">
        <f t="shared" si="24"/>
        <v>0.5909722222222221</v>
      </c>
      <c r="I127" s="16" t="s">
        <v>324</v>
      </c>
      <c r="J127" s="17">
        <v>12</v>
      </c>
      <c r="K127" s="15">
        <v>8</v>
      </c>
      <c r="L127" s="15" t="s">
        <v>285</v>
      </c>
      <c r="M127" s="15">
        <v>0</v>
      </c>
      <c r="N127" s="15">
        <v>2.5</v>
      </c>
      <c r="O127" s="43">
        <f>K127*1625088/N127/(1024*1024)</f>
        <v>4.959375</v>
      </c>
      <c r="P127" s="48">
        <f t="shared" si="25"/>
        <v>0.17400518229166664</v>
      </c>
      <c r="Q127" s="48">
        <f t="shared" si="26"/>
        <v>0.08665130208333333</v>
      </c>
      <c r="R127" s="48">
        <f t="shared" si="27"/>
        <v>0.05805086197916666</v>
      </c>
      <c r="S127" s="76" t="s">
        <v>225</v>
      </c>
      <c r="T127" s="130" t="s">
        <v>182</v>
      </c>
      <c r="U127" s="29" t="s">
        <v>436</v>
      </c>
      <c r="V127" s="13" t="s">
        <v>43</v>
      </c>
    </row>
    <row r="128" spans="1:22" ht="12.75">
      <c r="A128" s="161" t="s">
        <v>377</v>
      </c>
      <c r="B128" s="36">
        <v>45</v>
      </c>
      <c r="C128" s="162"/>
      <c r="D128" s="163">
        <v>36563</v>
      </c>
      <c r="E128" s="164" t="s">
        <v>205</v>
      </c>
      <c r="F128" s="165">
        <v>0.7291666666666666</v>
      </c>
      <c r="G128" s="165">
        <v>0.16666666666666666</v>
      </c>
      <c r="H128" s="166">
        <f>SUM(F128:G128)</f>
        <v>0.8958333333333333</v>
      </c>
      <c r="I128" s="167"/>
      <c r="J128" s="168"/>
      <c r="K128" s="167"/>
      <c r="L128" s="167"/>
      <c r="M128" s="167"/>
      <c r="N128" s="167"/>
      <c r="O128" s="169">
        <f>SUM(O123:O127)</f>
        <v>94.34268499999997</v>
      </c>
      <c r="P128" s="169">
        <f>SUM(P123:P127)</f>
        <v>3.3101179284305555</v>
      </c>
      <c r="Q128" s="169">
        <f>SUM(Q123:Q127)</f>
        <v>1.646444968567086</v>
      </c>
      <c r="R128" s="169">
        <f>SUM(R123:R127)</f>
        <v>1.1029671996539294</v>
      </c>
      <c r="S128" s="170"/>
      <c r="T128" s="171"/>
      <c r="U128" s="172"/>
      <c r="V128" s="173"/>
    </row>
    <row r="129" spans="1:22" ht="38.25">
      <c r="A129" s="13" t="s">
        <v>422</v>
      </c>
      <c r="B129" s="34"/>
      <c r="C129" s="13" t="s">
        <v>357</v>
      </c>
      <c r="D129" s="14">
        <v>36564</v>
      </c>
      <c r="E129" s="76" t="s">
        <v>206</v>
      </c>
      <c r="F129" s="16">
        <v>0.11875</v>
      </c>
      <c r="G129" s="16">
        <v>0.013888888888888888</v>
      </c>
      <c r="H129" s="51">
        <f t="shared" si="24"/>
        <v>0.1326388888888889</v>
      </c>
      <c r="I129" s="16" t="s">
        <v>324</v>
      </c>
      <c r="J129" s="17">
        <v>12</v>
      </c>
      <c r="K129" s="15">
        <v>8</v>
      </c>
      <c r="L129" s="15" t="s">
        <v>285</v>
      </c>
      <c r="M129" s="15">
        <v>0</v>
      </c>
      <c r="N129" s="15">
        <v>2.5</v>
      </c>
      <c r="O129" s="43">
        <f>K129*1625088/N129/(1024*1024)</f>
        <v>4.959375</v>
      </c>
      <c r="P129" s="48">
        <f t="shared" si="25"/>
        <v>0.17400518229166664</v>
      </c>
      <c r="Q129" s="48">
        <f t="shared" si="26"/>
        <v>0.08665130208333333</v>
      </c>
      <c r="R129" s="48">
        <f t="shared" si="27"/>
        <v>0.05805086197916666</v>
      </c>
      <c r="S129" s="76" t="s">
        <v>225</v>
      </c>
      <c r="T129" s="130" t="s">
        <v>182</v>
      </c>
      <c r="U129" s="29" t="s">
        <v>437</v>
      </c>
      <c r="V129" s="13" t="s">
        <v>43</v>
      </c>
    </row>
    <row r="130" spans="1:22" ht="38.25">
      <c r="A130" s="13" t="s">
        <v>423</v>
      </c>
      <c r="B130" s="34"/>
      <c r="C130" s="13" t="s">
        <v>357</v>
      </c>
      <c r="D130" s="14">
        <v>36564</v>
      </c>
      <c r="E130" s="76" t="s">
        <v>206</v>
      </c>
      <c r="F130" s="16">
        <v>0.625</v>
      </c>
      <c r="G130" s="16">
        <v>0.013888888888888888</v>
      </c>
      <c r="H130" s="51">
        <f t="shared" si="24"/>
        <v>0.6388888888888888</v>
      </c>
      <c r="I130" s="16" t="s">
        <v>324</v>
      </c>
      <c r="J130" s="17">
        <v>12</v>
      </c>
      <c r="K130" s="15">
        <v>8</v>
      </c>
      <c r="L130" s="15" t="s">
        <v>285</v>
      </c>
      <c r="M130" s="15">
        <v>0</v>
      </c>
      <c r="N130" s="15">
        <v>2.5</v>
      </c>
      <c r="O130" s="43">
        <f>K130*1625088/N130/(1024*1024)</f>
        <v>4.959375</v>
      </c>
      <c r="P130" s="48">
        <f t="shared" si="25"/>
        <v>0.17400518229166664</v>
      </c>
      <c r="Q130" s="48">
        <f t="shared" si="26"/>
        <v>0.08665130208333333</v>
      </c>
      <c r="R130" s="48">
        <f t="shared" si="27"/>
        <v>0.05805086197916666</v>
      </c>
      <c r="S130" s="76" t="s">
        <v>225</v>
      </c>
      <c r="T130" s="130" t="s">
        <v>182</v>
      </c>
      <c r="U130" s="29" t="s">
        <v>438</v>
      </c>
      <c r="V130" s="13" t="s">
        <v>43</v>
      </c>
    </row>
    <row r="131" spans="1:22" ht="12.75">
      <c r="A131" s="105" t="s">
        <v>342</v>
      </c>
      <c r="B131" s="40">
        <v>43</v>
      </c>
      <c r="C131" s="106"/>
      <c r="D131" s="107">
        <v>36564</v>
      </c>
      <c r="E131" s="108" t="s">
        <v>206</v>
      </c>
      <c r="F131" s="109">
        <v>0.6666666666666666</v>
      </c>
      <c r="G131" s="109">
        <v>0.2708333333333333</v>
      </c>
      <c r="H131" s="104">
        <f>SUM(F131:G131)</f>
        <v>0.9375</v>
      </c>
      <c r="I131" s="110"/>
      <c r="J131" s="111"/>
      <c r="K131" s="110"/>
      <c r="L131" s="110"/>
      <c r="M131" s="110"/>
      <c r="N131" s="110"/>
      <c r="O131" s="113">
        <f>SUM(O129:O130)</f>
        <v>9.91875</v>
      </c>
      <c r="P131" s="113">
        <f>SUM(P129:P130)</f>
        <v>0.3480103645833333</v>
      </c>
      <c r="Q131" s="113">
        <f>SUM(Q129:Q130)</f>
        <v>0.17330260416666665</v>
      </c>
      <c r="R131" s="113">
        <f>SUM(R129:R130)</f>
        <v>0.11610172395833332</v>
      </c>
      <c r="S131" s="114"/>
      <c r="T131" s="124"/>
      <c r="U131" s="115"/>
      <c r="V131" s="116"/>
    </row>
    <row r="132" spans="1:22" ht="12.75">
      <c r="A132" s="18" t="s">
        <v>226</v>
      </c>
      <c r="B132" s="38"/>
      <c r="C132" s="19"/>
      <c r="D132" s="20">
        <v>36564</v>
      </c>
      <c r="E132" s="78" t="s">
        <v>206</v>
      </c>
      <c r="F132" s="22">
        <v>0.9166666666666666</v>
      </c>
      <c r="G132" s="21"/>
      <c r="H132" s="53"/>
      <c r="I132" s="21"/>
      <c r="J132" s="23"/>
      <c r="K132" s="21"/>
      <c r="L132" s="21"/>
      <c r="M132" s="21"/>
      <c r="N132" s="21"/>
      <c r="O132" s="45"/>
      <c r="P132" s="50"/>
      <c r="Q132" s="50"/>
      <c r="R132" s="50"/>
      <c r="S132" s="78"/>
      <c r="T132" s="131"/>
      <c r="U132" s="31"/>
      <c r="V132" s="19"/>
    </row>
    <row r="133" spans="1:22" ht="38.25">
      <c r="A133" s="13" t="s">
        <v>424</v>
      </c>
      <c r="B133" s="34"/>
      <c r="C133" s="13" t="s">
        <v>357</v>
      </c>
      <c r="D133" s="14">
        <v>36564</v>
      </c>
      <c r="E133" s="76" t="s">
        <v>206</v>
      </c>
      <c r="F133" s="16">
        <v>0.9479166666666666</v>
      </c>
      <c r="G133" s="16">
        <v>0.013888888888888888</v>
      </c>
      <c r="H133" s="51">
        <f aca="true" t="shared" si="28" ref="H133:H140">SUM(F133:G133)</f>
        <v>0.9618055555555555</v>
      </c>
      <c r="I133" s="16" t="s">
        <v>294</v>
      </c>
      <c r="J133" s="17">
        <v>12</v>
      </c>
      <c r="K133" s="15">
        <v>8</v>
      </c>
      <c r="L133" s="15" t="s">
        <v>285</v>
      </c>
      <c r="M133" s="15">
        <v>0</v>
      </c>
      <c r="N133" s="15">
        <v>2.5</v>
      </c>
      <c r="O133" s="43">
        <f>2*K133*1625088/N133/(1024*1024)</f>
        <v>9.91875</v>
      </c>
      <c r="P133" s="48">
        <f>O133*126.31/3600</f>
        <v>0.3480103645833333</v>
      </c>
      <c r="Q133" s="48">
        <f>O133*62.9/3600</f>
        <v>0.17330260416666665</v>
      </c>
      <c r="R133" s="48">
        <f>O133*42.139/3600</f>
        <v>0.11610172395833332</v>
      </c>
      <c r="S133" s="76" t="s">
        <v>225</v>
      </c>
      <c r="T133" s="130" t="s">
        <v>182</v>
      </c>
      <c r="U133" s="29" t="s">
        <v>439</v>
      </c>
      <c r="V133" s="13" t="s">
        <v>43</v>
      </c>
    </row>
    <row r="134" spans="1:22" ht="12.75">
      <c r="A134" s="105" t="s">
        <v>342</v>
      </c>
      <c r="B134" s="40">
        <v>43</v>
      </c>
      <c r="C134" s="106"/>
      <c r="D134" s="107">
        <v>36564</v>
      </c>
      <c r="E134" s="108" t="s">
        <v>206</v>
      </c>
      <c r="F134" s="109">
        <v>0.9791666666666666</v>
      </c>
      <c r="G134" s="109">
        <v>0.052083333333333336</v>
      </c>
      <c r="H134" s="104">
        <f t="shared" si="28"/>
        <v>1.03125</v>
      </c>
      <c r="I134" s="110"/>
      <c r="J134" s="111"/>
      <c r="K134" s="110"/>
      <c r="L134" s="110"/>
      <c r="M134" s="110"/>
      <c r="N134" s="110"/>
      <c r="O134" s="113">
        <f>SUM(O133)</f>
        <v>9.91875</v>
      </c>
      <c r="P134" s="113">
        <f>SUM(P133)</f>
        <v>0.3480103645833333</v>
      </c>
      <c r="Q134" s="113">
        <f>SUM(Q133)</f>
        <v>0.17330260416666665</v>
      </c>
      <c r="R134" s="113">
        <f>SUM(R133)</f>
        <v>0.11610172395833332</v>
      </c>
      <c r="S134" s="114"/>
      <c r="T134" s="124"/>
      <c r="U134" s="115"/>
      <c r="V134" s="116"/>
    </row>
    <row r="135" spans="1:22" ht="38.25">
      <c r="A135" s="13" t="s">
        <v>425</v>
      </c>
      <c r="B135" s="34"/>
      <c r="C135" s="13" t="s">
        <v>357</v>
      </c>
      <c r="D135" s="14">
        <v>36565</v>
      </c>
      <c r="E135" s="76" t="s">
        <v>177</v>
      </c>
      <c r="F135" s="16">
        <v>0.08333333333333333</v>
      </c>
      <c r="G135" s="16">
        <v>0.013888888888888888</v>
      </c>
      <c r="H135" s="51">
        <f>SUM(F135:G135)</f>
        <v>0.09722222222222221</v>
      </c>
      <c r="I135" s="16" t="s">
        <v>294</v>
      </c>
      <c r="J135" s="17">
        <v>12</v>
      </c>
      <c r="K135" s="15">
        <v>8</v>
      </c>
      <c r="L135" s="15" t="s">
        <v>285</v>
      </c>
      <c r="M135" s="15">
        <v>0</v>
      </c>
      <c r="N135" s="15">
        <v>2.5</v>
      </c>
      <c r="O135" s="43">
        <f>2*K135*1625088/N135/(1024*1024)</f>
        <v>9.91875</v>
      </c>
      <c r="P135" s="48">
        <f>O135*126.31/3600</f>
        <v>0.3480103645833333</v>
      </c>
      <c r="Q135" s="48">
        <f>O135*62.9/3600</f>
        <v>0.17330260416666665</v>
      </c>
      <c r="R135" s="48">
        <f>O135*42.139/3600</f>
        <v>0.11610172395833332</v>
      </c>
      <c r="S135" s="76" t="s">
        <v>225</v>
      </c>
      <c r="T135" s="130" t="s">
        <v>182</v>
      </c>
      <c r="U135" s="29" t="s">
        <v>440</v>
      </c>
      <c r="V135" s="13" t="s">
        <v>43</v>
      </c>
    </row>
    <row r="136" spans="1:22" ht="12.75">
      <c r="A136" s="161" t="s">
        <v>377</v>
      </c>
      <c r="B136" s="36">
        <v>65</v>
      </c>
      <c r="C136" s="162"/>
      <c r="D136" s="163">
        <v>36565</v>
      </c>
      <c r="E136" s="164" t="s">
        <v>177</v>
      </c>
      <c r="F136" s="165">
        <v>0.23263888888888887</v>
      </c>
      <c r="G136" s="165">
        <v>0.08333333333333333</v>
      </c>
      <c r="H136" s="166">
        <f>SUM(F136:G136)</f>
        <v>0.3159722222222222</v>
      </c>
      <c r="I136" s="167"/>
      <c r="J136" s="168"/>
      <c r="K136" s="167"/>
      <c r="L136" s="167"/>
      <c r="M136" s="167"/>
      <c r="N136" s="167"/>
      <c r="O136" s="169">
        <f>SUM(O135)</f>
        <v>9.91875</v>
      </c>
      <c r="P136" s="169">
        <f>SUM(P135)</f>
        <v>0.3480103645833333</v>
      </c>
      <c r="Q136" s="169">
        <f>SUM(Q135)</f>
        <v>0.17330260416666665</v>
      </c>
      <c r="R136" s="169">
        <f>SUM(R135)</f>
        <v>0.11610172395833332</v>
      </c>
      <c r="S136" s="170"/>
      <c r="T136" s="171"/>
      <c r="U136" s="172"/>
      <c r="V136" s="173"/>
    </row>
    <row r="137" spans="1:22" ht="38.25">
      <c r="A137" s="13" t="s">
        <v>400</v>
      </c>
      <c r="B137" s="34"/>
      <c r="C137" s="13" t="s">
        <v>357</v>
      </c>
      <c r="D137" s="14">
        <v>36565</v>
      </c>
      <c r="E137" s="76" t="s">
        <v>177</v>
      </c>
      <c r="F137" s="16">
        <v>0.3090277777777778</v>
      </c>
      <c r="G137" s="16">
        <v>0.013888888888888888</v>
      </c>
      <c r="H137" s="51">
        <f>SUM(F137:G137)</f>
        <v>0.3229166666666667</v>
      </c>
      <c r="I137" s="16" t="s">
        <v>324</v>
      </c>
      <c r="J137" s="17">
        <v>12</v>
      </c>
      <c r="K137" s="15">
        <v>8</v>
      </c>
      <c r="L137" s="15" t="s">
        <v>285</v>
      </c>
      <c r="M137" s="15">
        <v>0</v>
      </c>
      <c r="N137" s="15">
        <v>2.5</v>
      </c>
      <c r="O137" s="43">
        <f>K137*1625088/N137/(1024*1024)</f>
        <v>4.959375</v>
      </c>
      <c r="P137" s="48">
        <f>O137*126.31/3600</f>
        <v>0.17400518229166664</v>
      </c>
      <c r="Q137" s="48">
        <f>O137*62.9/3600</f>
        <v>0.08665130208333333</v>
      </c>
      <c r="R137" s="48">
        <f>O137*42.139/3600</f>
        <v>0.05805086197916666</v>
      </c>
      <c r="S137" s="76" t="s">
        <v>225</v>
      </c>
      <c r="T137" s="130" t="s">
        <v>182</v>
      </c>
      <c r="U137" s="29" t="s">
        <v>267</v>
      </c>
      <c r="V137" s="13" t="s">
        <v>43</v>
      </c>
    </row>
    <row r="138" spans="1:22" ht="38.25">
      <c r="A138" s="5" t="s">
        <v>399</v>
      </c>
      <c r="B138" s="33"/>
      <c r="C138" s="62" t="s">
        <v>54</v>
      </c>
      <c r="D138" s="9">
        <v>36565</v>
      </c>
      <c r="E138" s="75" t="s">
        <v>177</v>
      </c>
      <c r="F138" s="11">
        <v>0.34375</v>
      </c>
      <c r="G138" s="11">
        <v>0.24861111111111112</v>
      </c>
      <c r="H138" s="52">
        <f>SUM(F138:G138)</f>
        <v>0.5923611111111111</v>
      </c>
      <c r="I138" s="10"/>
      <c r="J138" s="12">
        <v>12</v>
      </c>
      <c r="K138" s="10">
        <v>104</v>
      </c>
      <c r="L138" s="10">
        <v>25</v>
      </c>
      <c r="M138" s="10" t="s">
        <v>210</v>
      </c>
      <c r="N138" s="10">
        <v>2.5</v>
      </c>
      <c r="O138" s="44">
        <f>K138*1625088/N138/(1024*1024)</f>
        <v>64.471875</v>
      </c>
      <c r="P138" s="49">
        <f>O138*126.31/3600</f>
        <v>2.2620673697916667</v>
      </c>
      <c r="Q138" s="49">
        <f>O138*62.9/3600</f>
        <v>1.1264669270833332</v>
      </c>
      <c r="R138" s="49">
        <f>O138*42.139/3600</f>
        <v>0.7546612057291666</v>
      </c>
      <c r="S138" s="75" t="s">
        <v>225</v>
      </c>
      <c r="T138" s="126" t="s">
        <v>182</v>
      </c>
      <c r="U138" s="30" t="s">
        <v>193</v>
      </c>
      <c r="V138" s="5" t="s">
        <v>43</v>
      </c>
    </row>
    <row r="139" spans="1:22" ht="38.25">
      <c r="A139" s="13" t="s">
        <v>401</v>
      </c>
      <c r="B139" s="34"/>
      <c r="C139" s="13" t="s">
        <v>357</v>
      </c>
      <c r="D139" s="14">
        <v>36565</v>
      </c>
      <c r="E139" s="76" t="s">
        <v>177</v>
      </c>
      <c r="F139" s="16">
        <v>0.61875</v>
      </c>
      <c r="G139" s="16">
        <v>0.013888888888888888</v>
      </c>
      <c r="H139" s="51">
        <f t="shared" si="28"/>
        <v>0.6326388888888889</v>
      </c>
      <c r="I139" s="16" t="s">
        <v>324</v>
      </c>
      <c r="J139" s="17">
        <v>12</v>
      </c>
      <c r="K139" s="15">
        <v>8</v>
      </c>
      <c r="L139" s="15" t="s">
        <v>285</v>
      </c>
      <c r="M139" s="15">
        <v>0</v>
      </c>
      <c r="N139" s="15">
        <v>2.5</v>
      </c>
      <c r="O139" s="43">
        <f>K139*1625088/N139/(1024*1024)</f>
        <v>4.959375</v>
      </c>
      <c r="P139" s="48">
        <f>O139*126.31/3600</f>
        <v>0.17400518229166664</v>
      </c>
      <c r="Q139" s="48">
        <f>O139*62.9/3600</f>
        <v>0.08665130208333333</v>
      </c>
      <c r="R139" s="48">
        <f>O139*42.139/3600</f>
        <v>0.05805086197916666</v>
      </c>
      <c r="S139" s="76" t="s">
        <v>225</v>
      </c>
      <c r="T139" s="130" t="s">
        <v>182</v>
      </c>
      <c r="U139" s="29" t="s">
        <v>268</v>
      </c>
      <c r="V139" s="13" t="s">
        <v>43</v>
      </c>
    </row>
    <row r="140" spans="1:22" ht="12.75">
      <c r="A140" s="105" t="s">
        <v>342</v>
      </c>
      <c r="B140" s="40">
        <v>43</v>
      </c>
      <c r="C140" s="116"/>
      <c r="D140" s="107">
        <v>36565</v>
      </c>
      <c r="E140" s="108" t="s">
        <v>177</v>
      </c>
      <c r="F140" s="109">
        <v>0.6666666666666666</v>
      </c>
      <c r="G140" s="109">
        <v>0.1875</v>
      </c>
      <c r="H140" s="104">
        <f t="shared" si="28"/>
        <v>0.8541666666666666</v>
      </c>
      <c r="I140" s="110"/>
      <c r="J140" s="111"/>
      <c r="K140" s="110"/>
      <c r="L140" s="110"/>
      <c r="M140" s="110"/>
      <c r="N140" s="110"/>
      <c r="O140" s="113">
        <f>SUM(O135:O139)</f>
        <v>94.22812499999999</v>
      </c>
      <c r="P140" s="113">
        <f>SUM(P137:P139)</f>
        <v>2.6100777343750003</v>
      </c>
      <c r="Q140" s="113">
        <f>SUM(Q137:Q139)</f>
        <v>1.2997695312499997</v>
      </c>
      <c r="R140" s="113">
        <f>SUM(R137:R139)</f>
        <v>0.8707629296874999</v>
      </c>
      <c r="S140" s="114"/>
      <c r="T140" s="124"/>
      <c r="U140" s="115"/>
      <c r="V140" s="116"/>
    </row>
    <row r="141" spans="1:22" ht="38.25">
      <c r="A141" s="13" t="s">
        <v>402</v>
      </c>
      <c r="B141" s="34"/>
      <c r="C141" s="13" t="s">
        <v>357</v>
      </c>
      <c r="D141" s="14">
        <v>36566</v>
      </c>
      <c r="E141" s="76" t="s">
        <v>177</v>
      </c>
      <c r="F141" s="16">
        <v>0.8458333333333333</v>
      </c>
      <c r="G141" s="16">
        <v>0.013888888888888888</v>
      </c>
      <c r="H141" s="51">
        <f>SUM(F141:G141)</f>
        <v>0.8597222222222222</v>
      </c>
      <c r="I141" s="16" t="s">
        <v>324</v>
      </c>
      <c r="J141" s="17">
        <v>12</v>
      </c>
      <c r="K141" s="15">
        <v>8</v>
      </c>
      <c r="L141" s="15" t="s">
        <v>285</v>
      </c>
      <c r="M141" s="15">
        <v>0</v>
      </c>
      <c r="N141" s="15">
        <v>2.5</v>
      </c>
      <c r="O141" s="43">
        <f>K141*1625088/N141/(1024*1024)</f>
        <v>4.959375</v>
      </c>
      <c r="P141" s="48">
        <f>O141*126.31/3600</f>
        <v>0.17400518229166664</v>
      </c>
      <c r="Q141" s="48">
        <f>O141*62.9/3600</f>
        <v>0.08665130208333333</v>
      </c>
      <c r="R141" s="48">
        <f>O141*42.139/3600</f>
        <v>0.05805086197916666</v>
      </c>
      <c r="S141" s="76" t="s">
        <v>225</v>
      </c>
      <c r="T141" s="130" t="s">
        <v>182</v>
      </c>
      <c r="U141" s="29" t="s">
        <v>269</v>
      </c>
      <c r="V141" s="13" t="s">
        <v>43</v>
      </c>
    </row>
    <row r="142" spans="1:22" ht="89.25">
      <c r="A142" s="298" t="s">
        <v>428</v>
      </c>
      <c r="B142" s="297"/>
      <c r="C142" s="298" t="s">
        <v>54</v>
      </c>
      <c r="D142" s="312">
        <v>36566</v>
      </c>
      <c r="E142" s="308" t="s">
        <v>323</v>
      </c>
      <c r="F142" s="302">
        <v>0.0625</v>
      </c>
      <c r="G142" s="302">
        <v>0.2847222222222222</v>
      </c>
      <c r="H142" s="303">
        <f>SUM(F142:G142)</f>
        <v>0.3472222222222222</v>
      </c>
      <c r="I142" s="304"/>
      <c r="J142" s="305">
        <v>12</v>
      </c>
      <c r="K142" s="304">
        <v>416</v>
      </c>
      <c r="L142" s="304" t="s">
        <v>286</v>
      </c>
      <c r="M142" s="304">
        <v>0</v>
      </c>
      <c r="N142" s="304">
        <v>2.5</v>
      </c>
      <c r="O142" s="306">
        <f>K142*1625088/N142/(1024*1024)</f>
        <v>257.8875</v>
      </c>
      <c r="P142" s="307">
        <f>O142*126.31/3600</f>
        <v>9.048269479166667</v>
      </c>
      <c r="Q142" s="307">
        <f>O142*62.9/3600</f>
        <v>4.505867708333333</v>
      </c>
      <c r="R142" s="307">
        <f>O142*42.139/3600</f>
        <v>3.0186448229166665</v>
      </c>
      <c r="S142" s="308" t="s">
        <v>225</v>
      </c>
      <c r="T142" s="309" t="s">
        <v>182</v>
      </c>
      <c r="U142" s="335" t="s">
        <v>412</v>
      </c>
      <c r="V142" s="298" t="s">
        <v>43</v>
      </c>
    </row>
    <row r="143" spans="1:22" ht="38.25">
      <c r="A143" s="13" t="s">
        <v>403</v>
      </c>
      <c r="B143" s="34"/>
      <c r="C143" s="13" t="s">
        <v>357</v>
      </c>
      <c r="D143" s="14">
        <v>36566</v>
      </c>
      <c r="E143" s="76" t="s">
        <v>323</v>
      </c>
      <c r="F143" s="16">
        <v>0.3527777777777778</v>
      </c>
      <c r="G143" s="16">
        <v>0.013888888888888888</v>
      </c>
      <c r="H143" s="51">
        <f aca="true" t="shared" si="29" ref="H143:H157">SUM(F143:G143)</f>
        <v>0.3666666666666667</v>
      </c>
      <c r="I143" s="16" t="s">
        <v>294</v>
      </c>
      <c r="J143" s="17">
        <v>12</v>
      </c>
      <c r="K143" s="15">
        <v>8</v>
      </c>
      <c r="L143" s="15" t="s">
        <v>285</v>
      </c>
      <c r="M143" s="15">
        <v>0</v>
      </c>
      <c r="N143" s="15">
        <v>2.3</v>
      </c>
      <c r="O143" s="43">
        <f>2*K143*1625088/N143/(1024*1024)</f>
        <v>10.78125</v>
      </c>
      <c r="P143" s="48">
        <f aca="true" t="shared" si="30" ref="P143:P148">O143*126.31/3600</f>
        <v>0.3782721354166667</v>
      </c>
      <c r="Q143" s="48">
        <f>O143*62.9/3600</f>
        <v>0.18837239583333334</v>
      </c>
      <c r="R143" s="48">
        <f>O143*42.139/3600</f>
        <v>0.12619752604166667</v>
      </c>
      <c r="S143" s="76" t="s">
        <v>225</v>
      </c>
      <c r="T143" s="130" t="s">
        <v>182</v>
      </c>
      <c r="U143" s="29" t="s">
        <v>270</v>
      </c>
      <c r="V143" s="13" t="s">
        <v>43</v>
      </c>
    </row>
    <row r="144" spans="1:22" ht="25.5">
      <c r="A144" s="298" t="s">
        <v>407</v>
      </c>
      <c r="B144" s="297"/>
      <c r="C144" s="298" t="s">
        <v>54</v>
      </c>
      <c r="D144" s="312">
        <v>36566</v>
      </c>
      <c r="E144" s="308" t="s">
        <v>323</v>
      </c>
      <c r="F144" s="302">
        <v>0.37152777777777773</v>
      </c>
      <c r="G144" s="302">
        <v>0.25</v>
      </c>
      <c r="H144" s="303">
        <f t="shared" si="29"/>
        <v>0.6215277777777777</v>
      </c>
      <c r="I144" s="304"/>
      <c r="J144" s="305">
        <v>8</v>
      </c>
      <c r="K144" s="304">
        <v>780</v>
      </c>
      <c r="L144" s="304">
        <v>18</v>
      </c>
      <c r="M144" s="304">
        <v>4</v>
      </c>
      <c r="N144" s="304">
        <v>3.9</v>
      </c>
      <c r="O144" s="306">
        <f>K144*1625088/N144/(1024*1024)</f>
        <v>309.9609375</v>
      </c>
      <c r="P144" s="307">
        <f t="shared" si="30"/>
        <v>10.875323893229167</v>
      </c>
      <c r="Q144" s="307">
        <f>O144*62.9/3600</f>
        <v>5.415706380208333</v>
      </c>
      <c r="R144" s="307">
        <f>O144*42.139/3600</f>
        <v>3.6281788736979173</v>
      </c>
      <c r="S144" s="308" t="s">
        <v>225</v>
      </c>
      <c r="T144" s="309" t="s">
        <v>182</v>
      </c>
      <c r="U144" s="310" t="s">
        <v>295</v>
      </c>
      <c r="V144" s="298" t="s">
        <v>43</v>
      </c>
    </row>
    <row r="145" spans="1:22" ht="25.5">
      <c r="A145" s="286" t="s">
        <v>175</v>
      </c>
      <c r="B145" s="35"/>
      <c r="C145" s="286" t="s">
        <v>54</v>
      </c>
      <c r="D145" s="287">
        <v>36566</v>
      </c>
      <c r="E145" s="288" t="s">
        <v>323</v>
      </c>
      <c r="F145" s="289">
        <v>0.37152777777777773</v>
      </c>
      <c r="G145" s="289">
        <v>0.25</v>
      </c>
      <c r="H145" s="290">
        <f t="shared" si="29"/>
        <v>0.6215277777777777</v>
      </c>
      <c r="I145" s="291"/>
      <c r="J145" s="292"/>
      <c r="K145" s="291">
        <v>1575</v>
      </c>
      <c r="L145" s="291"/>
      <c r="M145" s="291"/>
      <c r="N145" s="291"/>
      <c r="O145" s="293">
        <f>K145*2864/2.5/1000000</f>
        <v>1.80432</v>
      </c>
      <c r="P145" s="294">
        <f t="shared" si="30"/>
        <v>0.06330657199999999</v>
      </c>
      <c r="Q145" s="294">
        <f>P145*62.9/3600</f>
        <v>0.001106106494111111</v>
      </c>
      <c r="R145" s="294">
        <f>Q145*42.139/3600</f>
        <v>1.2947283765374474E-05</v>
      </c>
      <c r="S145" s="288" t="s">
        <v>225</v>
      </c>
      <c r="T145" s="295" t="s">
        <v>182</v>
      </c>
      <c r="U145" s="296" t="s">
        <v>116</v>
      </c>
      <c r="V145" s="286" t="s">
        <v>43</v>
      </c>
    </row>
    <row r="146" spans="1:22" ht="38.25">
      <c r="A146" s="13" t="s">
        <v>404</v>
      </c>
      <c r="B146" s="34"/>
      <c r="C146" s="13" t="s">
        <v>357</v>
      </c>
      <c r="D146" s="14">
        <v>36566</v>
      </c>
      <c r="E146" s="76" t="s">
        <v>323</v>
      </c>
      <c r="F146" s="16">
        <v>0.6395833333333333</v>
      </c>
      <c r="G146" s="16">
        <v>0.013888888888888888</v>
      </c>
      <c r="H146" s="51">
        <f t="shared" si="29"/>
        <v>0.6534722222222221</v>
      </c>
      <c r="I146" s="16" t="s">
        <v>294</v>
      </c>
      <c r="J146" s="17">
        <v>12</v>
      </c>
      <c r="K146" s="15">
        <v>8</v>
      </c>
      <c r="L146" s="15" t="s">
        <v>285</v>
      </c>
      <c r="M146" s="15">
        <v>0</v>
      </c>
      <c r="N146" s="15">
        <v>2.3</v>
      </c>
      <c r="O146" s="43">
        <f>2*K146*1625088/N146/(1024*1024)</f>
        <v>10.78125</v>
      </c>
      <c r="P146" s="48">
        <f t="shared" si="30"/>
        <v>0.3782721354166667</v>
      </c>
      <c r="Q146" s="48">
        <f>O146*62.9/3600</f>
        <v>0.18837239583333334</v>
      </c>
      <c r="R146" s="48">
        <f>O146*42.139/3600</f>
        <v>0.12619752604166667</v>
      </c>
      <c r="S146" s="76" t="s">
        <v>225</v>
      </c>
      <c r="T146" s="130" t="s">
        <v>182</v>
      </c>
      <c r="U146" s="29" t="s">
        <v>143</v>
      </c>
      <c r="V146" s="13" t="s">
        <v>43</v>
      </c>
    </row>
    <row r="147" spans="1:22" ht="12.75">
      <c r="A147" s="105" t="s">
        <v>342</v>
      </c>
      <c r="B147" s="40">
        <v>43</v>
      </c>
      <c r="C147" s="106"/>
      <c r="D147" s="107">
        <v>36566</v>
      </c>
      <c r="E147" s="108" t="s">
        <v>323</v>
      </c>
      <c r="F147" s="109">
        <v>0.6666666666666666</v>
      </c>
      <c r="G147" s="109">
        <v>0.375</v>
      </c>
      <c r="H147" s="104">
        <f t="shared" si="29"/>
        <v>1.0416666666666665</v>
      </c>
      <c r="I147" s="110"/>
      <c r="J147" s="111"/>
      <c r="K147" s="110"/>
      <c r="L147" s="110"/>
      <c r="M147" s="110"/>
      <c r="N147" s="110"/>
      <c r="O147" s="113">
        <f>SUM(O141:O146)</f>
        <v>596.1746324999999</v>
      </c>
      <c r="P147" s="113">
        <f>SUM(P141:P146)</f>
        <v>20.91744939752083</v>
      </c>
      <c r="Q147" s="113">
        <f>SUM(Q141:Q146)</f>
        <v>10.386076288785778</v>
      </c>
      <c r="R147" s="113">
        <f>SUM(R141:R146)</f>
        <v>6.957282557960849</v>
      </c>
      <c r="S147" s="114"/>
      <c r="T147" s="124"/>
      <c r="U147" s="115"/>
      <c r="V147" s="116"/>
    </row>
    <row r="148" spans="1:22" ht="38.25">
      <c r="A148" s="13" t="s">
        <v>363</v>
      </c>
      <c r="B148" s="34"/>
      <c r="C148" s="13" t="s">
        <v>357</v>
      </c>
      <c r="D148" s="14">
        <v>36567</v>
      </c>
      <c r="E148" s="76" t="s">
        <v>319</v>
      </c>
      <c r="F148" s="16">
        <v>0.034722222222222224</v>
      </c>
      <c r="G148" s="16">
        <v>0.013888888888888888</v>
      </c>
      <c r="H148" s="51">
        <f>SUM(F148:G148)</f>
        <v>0.04861111111111111</v>
      </c>
      <c r="I148" s="16" t="s">
        <v>294</v>
      </c>
      <c r="J148" s="17">
        <v>12</v>
      </c>
      <c r="K148" s="15">
        <v>8</v>
      </c>
      <c r="L148" s="15" t="s">
        <v>285</v>
      </c>
      <c r="M148" s="15">
        <v>0</v>
      </c>
      <c r="N148" s="15">
        <v>2.3</v>
      </c>
      <c r="O148" s="43">
        <f>2*K148*1625088/N148/(1024*1024)</f>
        <v>10.78125</v>
      </c>
      <c r="P148" s="48">
        <f t="shared" si="30"/>
        <v>0.3782721354166667</v>
      </c>
      <c r="Q148" s="48">
        <f>O148*62.9/3600</f>
        <v>0.18837239583333334</v>
      </c>
      <c r="R148" s="48">
        <f>O148*42.139/3600</f>
        <v>0.12619752604166667</v>
      </c>
      <c r="S148" s="76" t="s">
        <v>225</v>
      </c>
      <c r="T148" s="130" t="s">
        <v>182</v>
      </c>
      <c r="U148" s="29" t="s">
        <v>144</v>
      </c>
      <c r="V148" s="13" t="s">
        <v>43</v>
      </c>
    </row>
    <row r="149" spans="1:22" ht="38.25">
      <c r="A149" s="298" t="s">
        <v>196</v>
      </c>
      <c r="B149" s="297"/>
      <c r="C149" s="298" t="s">
        <v>190</v>
      </c>
      <c r="D149" s="312">
        <v>36567</v>
      </c>
      <c r="E149" s="308" t="s">
        <v>319</v>
      </c>
      <c r="F149" s="302">
        <v>0.1111111111111111</v>
      </c>
      <c r="G149" s="302">
        <v>0.23263888888888887</v>
      </c>
      <c r="H149" s="303">
        <f t="shared" si="29"/>
        <v>0.34375</v>
      </c>
      <c r="I149" s="304"/>
      <c r="J149" s="305">
        <v>8</v>
      </c>
      <c r="K149" s="304">
        <v>780</v>
      </c>
      <c r="L149" s="304">
        <v>18</v>
      </c>
      <c r="M149" s="304">
        <v>4</v>
      </c>
      <c r="N149" s="304">
        <v>2.3</v>
      </c>
      <c r="O149" s="306">
        <f>K149*1625088/N149/(1024*1024)</f>
        <v>525.5859375</v>
      </c>
      <c r="P149" s="307">
        <f>O149*126.31/3600</f>
        <v>18.4407666015625</v>
      </c>
      <c r="Q149" s="307">
        <f>O149*62.9/3600</f>
        <v>9.183154296875</v>
      </c>
      <c r="R149" s="307">
        <f>O149*42.139/3600</f>
        <v>6.15212939453125</v>
      </c>
      <c r="S149" s="308" t="s">
        <v>225</v>
      </c>
      <c r="T149" s="309" t="s">
        <v>182</v>
      </c>
      <c r="U149" s="310" t="s">
        <v>392</v>
      </c>
      <c r="V149" s="298" t="s">
        <v>43</v>
      </c>
    </row>
    <row r="150" spans="1:22" ht="25.5">
      <c r="A150" s="286" t="s">
        <v>365</v>
      </c>
      <c r="B150" s="35"/>
      <c r="C150" s="286" t="s">
        <v>190</v>
      </c>
      <c r="D150" s="287">
        <v>36567</v>
      </c>
      <c r="E150" s="288" t="s">
        <v>319</v>
      </c>
      <c r="F150" s="289">
        <v>0.1111111111111111</v>
      </c>
      <c r="G150" s="289">
        <v>0.23263888888888887</v>
      </c>
      <c r="H150" s="290">
        <f t="shared" si="29"/>
        <v>0.34375</v>
      </c>
      <c r="I150" s="291"/>
      <c r="J150" s="292"/>
      <c r="K150" s="291">
        <v>1495</v>
      </c>
      <c r="L150" s="291"/>
      <c r="M150" s="291"/>
      <c r="N150" s="291"/>
      <c r="O150" s="293">
        <f>K150*2864/2.5/1000000</f>
        <v>1.712672</v>
      </c>
      <c r="P150" s="294">
        <f>O150*126.31/3600</f>
        <v>0.06009100008888889</v>
      </c>
      <c r="Q150" s="294">
        <f>P150*62.9/3600</f>
        <v>0.001049923307108642</v>
      </c>
      <c r="R150" s="294">
        <f>Q150*42.139/3600</f>
        <v>1.2289643955069743E-05</v>
      </c>
      <c r="S150" s="288" t="s">
        <v>225</v>
      </c>
      <c r="T150" s="295" t="s">
        <v>182</v>
      </c>
      <c r="U150" s="296" t="s">
        <v>117</v>
      </c>
      <c r="V150" s="286" t="s">
        <v>43</v>
      </c>
    </row>
    <row r="151" spans="1:22" ht="38.25">
      <c r="A151" s="5" t="s">
        <v>431</v>
      </c>
      <c r="B151" s="33"/>
      <c r="C151" s="5" t="s">
        <v>54</v>
      </c>
      <c r="D151" s="9">
        <v>36567</v>
      </c>
      <c r="E151" s="75" t="s">
        <v>319</v>
      </c>
      <c r="F151" s="11">
        <v>0.3541666666666667</v>
      </c>
      <c r="G151" s="11">
        <v>0.22083333333333333</v>
      </c>
      <c r="H151" s="52">
        <f t="shared" si="29"/>
        <v>0.575</v>
      </c>
      <c r="I151" s="10"/>
      <c r="J151" s="12">
        <v>12</v>
      </c>
      <c r="K151" s="10">
        <v>104</v>
      </c>
      <c r="L151" s="10">
        <v>25</v>
      </c>
      <c r="M151" s="10" t="s">
        <v>210</v>
      </c>
      <c r="N151" s="10">
        <v>2.3</v>
      </c>
      <c r="O151" s="44">
        <f>K151*1625088/N151/(1024*1024)</f>
        <v>70.078125</v>
      </c>
      <c r="P151" s="49">
        <f>O151*126.31/3600</f>
        <v>2.4587688802083334</v>
      </c>
      <c r="Q151" s="49">
        <f>O151*62.9/3600</f>
        <v>1.2244205729166666</v>
      </c>
      <c r="R151" s="49">
        <f>O151*42.139/3600</f>
        <v>0.8202839192708333</v>
      </c>
      <c r="S151" s="75" t="s">
        <v>225</v>
      </c>
      <c r="T151" s="126" t="s">
        <v>182</v>
      </c>
      <c r="U151" s="30" t="s">
        <v>361</v>
      </c>
      <c r="V151" s="5" t="s">
        <v>43</v>
      </c>
    </row>
    <row r="152" spans="1:22" ht="25.5">
      <c r="A152" s="286" t="s">
        <v>432</v>
      </c>
      <c r="B152" s="35"/>
      <c r="C152" s="286" t="s">
        <v>54</v>
      </c>
      <c r="D152" s="287">
        <v>36567</v>
      </c>
      <c r="E152" s="288" t="s">
        <v>319</v>
      </c>
      <c r="F152" s="289">
        <v>0.3541666666666667</v>
      </c>
      <c r="G152" s="289">
        <v>0.22083333333333333</v>
      </c>
      <c r="H152" s="290">
        <f t="shared" si="29"/>
        <v>0.575</v>
      </c>
      <c r="I152" s="291"/>
      <c r="J152" s="292"/>
      <c r="K152" s="291">
        <v>1495</v>
      </c>
      <c r="L152" s="291"/>
      <c r="M152" s="291"/>
      <c r="N152" s="291"/>
      <c r="O152" s="293">
        <f>K152*2864/2.5/1000000</f>
        <v>1.712672</v>
      </c>
      <c r="P152" s="294">
        <f>O152*126.31/3600</f>
        <v>0.06009100008888889</v>
      </c>
      <c r="Q152" s="294">
        <f>P152*62.9/3600</f>
        <v>0.001049923307108642</v>
      </c>
      <c r="R152" s="294">
        <f>Q152*42.139/3600</f>
        <v>1.2289643955069743E-05</v>
      </c>
      <c r="S152" s="288" t="s">
        <v>225</v>
      </c>
      <c r="T152" s="295" t="s">
        <v>182</v>
      </c>
      <c r="U152" s="296" t="s">
        <v>303</v>
      </c>
      <c r="V152" s="286" t="s">
        <v>43</v>
      </c>
    </row>
    <row r="153" spans="1:22" ht="38.25">
      <c r="A153" s="13" t="s">
        <v>362</v>
      </c>
      <c r="B153" s="34"/>
      <c r="C153" s="13" t="s">
        <v>357</v>
      </c>
      <c r="D153" s="14">
        <v>36567</v>
      </c>
      <c r="E153" s="76" t="s">
        <v>319</v>
      </c>
      <c r="F153" s="16">
        <v>0.638888888888889</v>
      </c>
      <c r="G153" s="16">
        <v>0.013888888888888888</v>
      </c>
      <c r="H153" s="51">
        <f>SUM(F153:G153)</f>
        <v>0.6527777777777778</v>
      </c>
      <c r="I153" s="16" t="s">
        <v>294</v>
      </c>
      <c r="J153" s="17">
        <v>12</v>
      </c>
      <c r="K153" s="15">
        <v>8</v>
      </c>
      <c r="L153" s="15" t="s">
        <v>285</v>
      </c>
      <c r="M153" s="15">
        <v>0</v>
      </c>
      <c r="N153" s="15">
        <v>2.3</v>
      </c>
      <c r="O153" s="43">
        <f>2*K153*1625088/N153/(1024*1024)</f>
        <v>10.78125</v>
      </c>
      <c r="P153" s="48">
        <f>O153*126.31/3600</f>
        <v>0.3782721354166667</v>
      </c>
      <c r="Q153" s="48">
        <f>O153*62.9/3600</f>
        <v>0.18837239583333334</v>
      </c>
      <c r="R153" s="48">
        <f>O153*42.139/3600</f>
        <v>0.12619752604166667</v>
      </c>
      <c r="S153" s="76" t="s">
        <v>225</v>
      </c>
      <c r="T153" s="130" t="s">
        <v>182</v>
      </c>
      <c r="U153" s="29" t="s">
        <v>145</v>
      </c>
      <c r="V153" s="13" t="s">
        <v>43</v>
      </c>
    </row>
    <row r="154" spans="1:22" ht="12.75">
      <c r="A154" s="105" t="s">
        <v>342</v>
      </c>
      <c r="B154" s="40">
        <v>43</v>
      </c>
      <c r="C154" s="106"/>
      <c r="D154" s="107">
        <v>36567</v>
      </c>
      <c r="E154" s="108" t="s">
        <v>319</v>
      </c>
      <c r="F154" s="109">
        <v>0.6666666666666666</v>
      </c>
      <c r="G154" s="109">
        <v>0.2916666666666667</v>
      </c>
      <c r="H154" s="104">
        <f t="shared" si="29"/>
        <v>0.9583333333333333</v>
      </c>
      <c r="I154" s="110"/>
      <c r="J154" s="111"/>
      <c r="K154" s="110"/>
      <c r="L154" s="110"/>
      <c r="M154" s="110"/>
      <c r="N154" s="110"/>
      <c r="O154" s="113">
        <f>SUM(O148:O153)</f>
        <v>620.6519065</v>
      </c>
      <c r="P154" s="113">
        <f>SUM(P148:P153)</f>
        <v>21.77626175278194</v>
      </c>
      <c r="Q154" s="113">
        <f>SUM(Q148:Q153)</f>
        <v>10.786419508072552</v>
      </c>
      <c r="R154" s="113">
        <f>SUM(R148:R153)</f>
        <v>7.224832945173326</v>
      </c>
      <c r="S154" s="114"/>
      <c r="T154" s="124"/>
      <c r="U154" s="115"/>
      <c r="V154" s="116"/>
    </row>
    <row r="155" spans="1:22" ht="38.25">
      <c r="A155" s="13" t="s">
        <v>416</v>
      </c>
      <c r="B155" s="39"/>
      <c r="C155" s="13" t="s">
        <v>357</v>
      </c>
      <c r="D155" s="14">
        <v>36567</v>
      </c>
      <c r="E155" s="76" t="s">
        <v>319</v>
      </c>
      <c r="F155" s="16">
        <v>0.9513888888888888</v>
      </c>
      <c r="G155" s="16">
        <v>0.013888888888888888</v>
      </c>
      <c r="H155" s="51">
        <f t="shared" si="29"/>
        <v>0.9652777777777777</v>
      </c>
      <c r="I155" s="16" t="s">
        <v>294</v>
      </c>
      <c r="J155" s="17">
        <v>12</v>
      </c>
      <c r="K155" s="15">
        <v>8</v>
      </c>
      <c r="L155" s="15" t="s">
        <v>285</v>
      </c>
      <c r="M155" s="15">
        <v>0</v>
      </c>
      <c r="N155" s="15">
        <v>2.3</v>
      </c>
      <c r="O155" s="43">
        <f>2*K155*1625088/N155/(1024*1024)</f>
        <v>10.78125</v>
      </c>
      <c r="P155" s="48">
        <f>O155*126.31/3600</f>
        <v>0.3782721354166667</v>
      </c>
      <c r="Q155" s="48">
        <f>O155*62.9/3600</f>
        <v>0.18837239583333334</v>
      </c>
      <c r="R155" s="48">
        <f>O155*42.139/3600</f>
        <v>0.12619752604166667</v>
      </c>
      <c r="S155" s="76" t="s">
        <v>225</v>
      </c>
      <c r="T155" s="130" t="s">
        <v>182</v>
      </c>
      <c r="U155" s="29" t="s">
        <v>146</v>
      </c>
      <c r="V155" s="13" t="s">
        <v>43</v>
      </c>
    </row>
    <row r="156" spans="1:22" ht="25.5">
      <c r="A156" s="13" t="s">
        <v>375</v>
      </c>
      <c r="B156" s="39"/>
      <c r="C156" s="13" t="s">
        <v>357</v>
      </c>
      <c r="D156" s="14">
        <v>36568</v>
      </c>
      <c r="E156" s="76" t="s">
        <v>330</v>
      </c>
      <c r="F156" s="16">
        <v>0.010416666666666666</v>
      </c>
      <c r="G156" s="16">
        <v>0.006944444444444444</v>
      </c>
      <c r="H156" s="51">
        <f t="shared" si="29"/>
        <v>0.017361111111111112</v>
      </c>
      <c r="I156" s="24"/>
      <c r="J156" s="17">
        <v>12</v>
      </c>
      <c r="K156" s="15">
        <v>3</v>
      </c>
      <c r="L156" s="15">
        <v>29</v>
      </c>
      <c r="M156" s="15">
        <v>0</v>
      </c>
      <c r="N156" s="15">
        <v>1.9</v>
      </c>
      <c r="O156" s="43">
        <f>2*K156*1625088/N156/(1024*1024)</f>
        <v>4.894120065789474</v>
      </c>
      <c r="P156" s="48">
        <f>O156*126.31/3600</f>
        <v>0.1717156404194079</v>
      </c>
      <c r="Q156" s="48">
        <f>O156*62.9/3600</f>
        <v>0.08551115337171053</v>
      </c>
      <c r="R156" s="48">
        <f>O156*42.139/3600</f>
        <v>0.05728703484786185</v>
      </c>
      <c r="S156" s="76" t="s">
        <v>225</v>
      </c>
      <c r="T156" s="130" t="s">
        <v>180</v>
      </c>
      <c r="U156" s="29" t="s">
        <v>376</v>
      </c>
      <c r="V156" s="13" t="s">
        <v>43</v>
      </c>
    </row>
    <row r="157" spans="1:22" ht="25.5">
      <c r="A157" s="5" t="s">
        <v>198</v>
      </c>
      <c r="B157" s="33"/>
      <c r="C157" s="5" t="s">
        <v>54</v>
      </c>
      <c r="D157" s="9">
        <v>36568</v>
      </c>
      <c r="E157" s="75" t="s">
        <v>330</v>
      </c>
      <c r="F157" s="11">
        <v>0.020833333333333332</v>
      </c>
      <c r="G157" s="11">
        <v>0.4756944444444444</v>
      </c>
      <c r="H157" s="52">
        <f t="shared" si="29"/>
        <v>0.49652777777777773</v>
      </c>
      <c r="I157" s="10"/>
      <c r="J157" s="12">
        <v>8</v>
      </c>
      <c r="K157" s="10">
        <v>780</v>
      </c>
      <c r="L157" s="10">
        <v>18</v>
      </c>
      <c r="M157" s="10">
        <v>4</v>
      </c>
      <c r="N157" s="10">
        <v>3.2</v>
      </c>
      <c r="O157" s="44">
        <f>K157*1625088/N157/(1024*1024)</f>
        <v>377.764892578125</v>
      </c>
      <c r="P157" s="49">
        <f>O157*126.31/3600</f>
        <v>13.254300994873047</v>
      </c>
      <c r="Q157" s="49">
        <f>O157*62.9/3600</f>
        <v>6.600392150878906</v>
      </c>
      <c r="R157" s="49">
        <f>O157*42.139/3600</f>
        <v>4.421843002319336</v>
      </c>
      <c r="S157" s="75" t="s">
        <v>225</v>
      </c>
      <c r="T157" s="126" t="s">
        <v>182</v>
      </c>
      <c r="U157" s="30" t="s">
        <v>287</v>
      </c>
      <c r="V157" s="5" t="s">
        <v>43</v>
      </c>
    </row>
    <row r="158" spans="1:22" ht="38.25">
      <c r="A158" s="5"/>
      <c r="B158" s="33"/>
      <c r="C158" s="62"/>
      <c r="D158" s="64"/>
      <c r="E158" s="74"/>
      <c r="F158" s="11"/>
      <c r="G158" s="11"/>
      <c r="H158" s="52"/>
      <c r="I158" s="10"/>
      <c r="J158" s="12">
        <v>12</v>
      </c>
      <c r="K158" s="10">
        <v>210</v>
      </c>
      <c r="L158" s="10">
        <v>1</v>
      </c>
      <c r="M158" s="160" t="s">
        <v>418</v>
      </c>
      <c r="N158" s="10">
        <v>1.9</v>
      </c>
      <c r="O158" s="44">
        <f>K158*1625088/N158/(1024*1024)</f>
        <v>171.2942023026316</v>
      </c>
      <c r="P158" s="49">
        <f>O158*126.31/3600</f>
        <v>6.010047414679277</v>
      </c>
      <c r="Q158" s="49">
        <f>O158*62.9/3600</f>
        <v>2.9928903680098684</v>
      </c>
      <c r="R158" s="49">
        <f>O158*42.139/3600</f>
        <v>2.005046219675165</v>
      </c>
      <c r="S158" s="75" t="s">
        <v>225</v>
      </c>
      <c r="T158" s="126" t="s">
        <v>182</v>
      </c>
      <c r="U158" s="30" t="s">
        <v>417</v>
      </c>
      <c r="V158" s="5" t="s">
        <v>43</v>
      </c>
    </row>
    <row r="159" spans="1:22" ht="25.5">
      <c r="A159" s="286" t="s">
        <v>366</v>
      </c>
      <c r="B159" s="35"/>
      <c r="C159" s="286" t="s">
        <v>54</v>
      </c>
      <c r="D159" s="287">
        <v>36568</v>
      </c>
      <c r="E159" s="288" t="s">
        <v>330</v>
      </c>
      <c r="F159" s="289">
        <v>0.020833333333333332</v>
      </c>
      <c r="G159" s="289">
        <v>0.23055555555555554</v>
      </c>
      <c r="H159" s="290">
        <f>SUM(F159:G159)</f>
        <v>0.2513888888888889</v>
      </c>
      <c r="I159" s="291"/>
      <c r="J159" s="292"/>
      <c r="K159" s="291">
        <v>1415</v>
      </c>
      <c r="L159" s="291"/>
      <c r="M159" s="291"/>
      <c r="N159" s="291"/>
      <c r="O159" s="293">
        <f>K159*2864/2.5/1000000</f>
        <v>1.621024</v>
      </c>
      <c r="P159" s="294">
        <f>O159*126.31/3600</f>
        <v>0.056875428177777784</v>
      </c>
      <c r="Q159" s="294">
        <f>P159*62.9/3600</f>
        <v>0.000993740120106173</v>
      </c>
      <c r="R159" s="294">
        <f>Q159*42.139/3600</f>
        <v>1.1632004144765006E-05</v>
      </c>
      <c r="S159" s="288" t="s">
        <v>225</v>
      </c>
      <c r="T159" s="295" t="s">
        <v>182</v>
      </c>
      <c r="U159" s="296" t="s">
        <v>304</v>
      </c>
      <c r="V159" s="286" t="s">
        <v>43</v>
      </c>
    </row>
    <row r="160" spans="1:22" ht="12.75">
      <c r="A160" s="105" t="s">
        <v>342</v>
      </c>
      <c r="B160" s="40">
        <v>14</v>
      </c>
      <c r="C160" s="106"/>
      <c r="D160" s="107">
        <v>36568</v>
      </c>
      <c r="E160" s="108" t="s">
        <v>330</v>
      </c>
      <c r="F160" s="109">
        <v>0.5208333333333334</v>
      </c>
      <c r="G160" s="109">
        <v>0.6979166666666666</v>
      </c>
      <c r="H160" s="104">
        <f>SUM(F160:G160)</f>
        <v>1.21875</v>
      </c>
      <c r="I160" s="110"/>
      <c r="J160" s="111"/>
      <c r="K160" s="110"/>
      <c r="L160" s="110"/>
      <c r="M160" s="110"/>
      <c r="N160" s="110"/>
      <c r="O160" s="113">
        <f>SUM(O155:O159)</f>
        <v>566.3554889465461</v>
      </c>
      <c r="P160" s="113">
        <f>SUM(P155:P159)</f>
        <v>19.871211613566178</v>
      </c>
      <c r="Q160" s="113">
        <f>SUM(Q155:Q159)</f>
        <v>9.868159808213925</v>
      </c>
      <c r="R160" s="113">
        <f>SUM(R155:R159)</f>
        <v>6.6103854148881735</v>
      </c>
      <c r="S160" s="114"/>
      <c r="T160" s="124"/>
      <c r="U160" s="115" t="s">
        <v>427</v>
      </c>
      <c r="V160" s="116"/>
    </row>
    <row r="161" spans="1:22" ht="38.25">
      <c r="A161" s="183" t="s">
        <v>61</v>
      </c>
      <c r="B161" s="184"/>
      <c r="C161" s="183" t="s">
        <v>357</v>
      </c>
      <c r="D161" s="185">
        <v>36569</v>
      </c>
      <c r="E161" s="186" t="s">
        <v>62</v>
      </c>
      <c r="F161" s="187">
        <v>0.21875</v>
      </c>
      <c r="G161" s="187">
        <v>0.007638888888888889</v>
      </c>
      <c r="H161" s="188">
        <f>SUM(F161:G161)</f>
        <v>0.2263888888888889</v>
      </c>
      <c r="I161" s="187" t="s">
        <v>324</v>
      </c>
      <c r="J161" s="184">
        <v>12</v>
      </c>
      <c r="K161" s="184">
        <v>8</v>
      </c>
      <c r="L161" s="184" t="s">
        <v>285</v>
      </c>
      <c r="M161" s="184">
        <v>0</v>
      </c>
      <c r="N161" s="184">
        <v>2.3</v>
      </c>
      <c r="O161" s="189">
        <f>K161*1625088/N161/(1024*1024)</f>
        <v>5.390625</v>
      </c>
      <c r="P161" s="190">
        <f>O161*126.31/3600</f>
        <v>0.18913606770833336</v>
      </c>
      <c r="Q161" s="190">
        <f>O161*62.9/3600</f>
        <v>0.09418619791666667</v>
      </c>
      <c r="R161" s="190">
        <f>O161*42.139/3600</f>
        <v>0.06309876302083334</v>
      </c>
      <c r="S161" s="186" t="s">
        <v>63</v>
      </c>
      <c r="T161" s="191" t="s">
        <v>182</v>
      </c>
      <c r="U161" s="192" t="s">
        <v>64</v>
      </c>
      <c r="V161" s="183" t="s">
        <v>43</v>
      </c>
    </row>
    <row r="162" spans="1:22" ht="12" customHeight="1">
      <c r="A162" s="193" t="s">
        <v>65</v>
      </c>
      <c r="B162" s="194"/>
      <c r="C162" s="193" t="s">
        <v>364</v>
      </c>
      <c r="D162" s="195">
        <v>36569</v>
      </c>
      <c r="E162" s="196" t="s">
        <v>62</v>
      </c>
      <c r="F162" s="197">
        <v>0.29375</v>
      </c>
      <c r="G162" s="197"/>
      <c r="H162" s="198"/>
      <c r="I162" s="199"/>
      <c r="J162" s="199"/>
      <c r="K162" s="199"/>
      <c r="L162" s="199"/>
      <c r="M162" s="199"/>
      <c r="N162" s="199"/>
      <c r="O162" s="200"/>
      <c r="P162" s="201"/>
      <c r="Q162" s="196"/>
      <c r="R162" s="202"/>
      <c r="S162" s="193"/>
      <c r="T162" s="193"/>
      <c r="U162" s="193"/>
      <c r="V162" s="193"/>
    </row>
    <row r="163" spans="1:22" ht="12" customHeight="1">
      <c r="A163" s="193"/>
      <c r="B163" s="194"/>
      <c r="C163" s="193" t="s">
        <v>364</v>
      </c>
      <c r="D163" s="195">
        <v>36569</v>
      </c>
      <c r="E163" s="196" t="s">
        <v>62</v>
      </c>
      <c r="F163" s="197">
        <v>0.29375</v>
      </c>
      <c r="G163" s="197">
        <v>0.009722222222222222</v>
      </c>
      <c r="H163" s="198">
        <f aca="true" t="shared" si="31" ref="H163:H174">SUM(F163:G163)</f>
        <v>0.30347222222222225</v>
      </c>
      <c r="I163" s="199"/>
      <c r="J163" s="199"/>
      <c r="K163" s="199">
        <v>26</v>
      </c>
      <c r="L163" s="199"/>
      <c r="M163" s="199"/>
      <c r="N163" s="199"/>
      <c r="O163" s="200">
        <f aca="true" t="shared" si="32" ref="O163:O174">K163*2864/2.5/1000000</f>
        <v>0.0297856</v>
      </c>
      <c r="P163" s="201">
        <f aca="true" t="shared" si="33" ref="P163:P174">O163*126.31/3600</f>
        <v>0.0010450608711111112</v>
      </c>
      <c r="Q163" s="201">
        <f aca="true" t="shared" si="34" ref="Q163:Q174">P163*62.9/3600</f>
        <v>1.825953577580247E-05</v>
      </c>
      <c r="R163" s="201">
        <f aca="true" t="shared" si="35" ref="R163:R174">Q163*42.139/3600</f>
        <v>2.13732938349039E-07</v>
      </c>
      <c r="S163" s="196" t="s">
        <v>63</v>
      </c>
      <c r="T163" s="203" t="s">
        <v>182</v>
      </c>
      <c r="U163" s="202" t="s">
        <v>176</v>
      </c>
      <c r="V163" s="193" t="s">
        <v>43</v>
      </c>
    </row>
    <row r="164" spans="1:22" ht="12" customHeight="1">
      <c r="A164" s="193"/>
      <c r="B164" s="194"/>
      <c r="C164" s="193" t="s">
        <v>364</v>
      </c>
      <c r="D164" s="195">
        <v>36569</v>
      </c>
      <c r="E164" s="196" t="s">
        <v>62</v>
      </c>
      <c r="F164" s="197">
        <v>0.3048611111111111</v>
      </c>
      <c r="G164" s="197">
        <v>0.3125</v>
      </c>
      <c r="H164" s="198">
        <f t="shared" si="31"/>
        <v>0.617361111111111</v>
      </c>
      <c r="I164" s="199"/>
      <c r="J164" s="199"/>
      <c r="K164" s="199">
        <v>1777</v>
      </c>
      <c r="L164" s="199"/>
      <c r="M164" s="199"/>
      <c r="N164" s="199"/>
      <c r="O164" s="200">
        <f t="shared" si="32"/>
        <v>2.0357312</v>
      </c>
      <c r="P164" s="201">
        <f t="shared" si="33"/>
        <v>0.07142589107555555</v>
      </c>
      <c r="Q164" s="201">
        <f t="shared" si="34"/>
        <v>0.0012479690412923457</v>
      </c>
      <c r="R164" s="201">
        <f t="shared" si="35"/>
        <v>1.4607824286393932E-05</v>
      </c>
      <c r="S164" s="196" t="s">
        <v>63</v>
      </c>
      <c r="T164" s="203" t="s">
        <v>182</v>
      </c>
      <c r="U164" s="202" t="s">
        <v>312</v>
      </c>
      <c r="V164" s="193" t="s">
        <v>43</v>
      </c>
    </row>
    <row r="165" spans="1:22" ht="12" customHeight="1">
      <c r="A165" s="193"/>
      <c r="B165" s="194"/>
      <c r="C165" s="193" t="s">
        <v>364</v>
      </c>
      <c r="D165" s="195">
        <v>36569</v>
      </c>
      <c r="E165" s="196" t="s">
        <v>62</v>
      </c>
      <c r="F165" s="197">
        <v>0.6201388888888889</v>
      </c>
      <c r="G165" s="197">
        <v>0.010416666666666666</v>
      </c>
      <c r="H165" s="198">
        <f t="shared" si="31"/>
        <v>0.6305555555555555</v>
      </c>
      <c r="I165" s="199"/>
      <c r="J165" s="199"/>
      <c r="K165" s="199">
        <v>37</v>
      </c>
      <c r="L165" s="199"/>
      <c r="M165" s="199"/>
      <c r="N165" s="199"/>
      <c r="O165" s="200">
        <f t="shared" si="32"/>
        <v>0.0423872</v>
      </c>
      <c r="P165" s="201">
        <f t="shared" si="33"/>
        <v>0.001487202008888889</v>
      </c>
      <c r="Q165" s="201">
        <f t="shared" si="34"/>
        <v>2.5984723988641977E-05</v>
      </c>
      <c r="R165" s="201">
        <f t="shared" si="35"/>
        <v>3.041584122659401E-07</v>
      </c>
      <c r="S165" s="196" t="s">
        <v>63</v>
      </c>
      <c r="T165" s="203" t="s">
        <v>182</v>
      </c>
      <c r="U165" s="202" t="s">
        <v>313</v>
      </c>
      <c r="V165" s="193" t="s">
        <v>43</v>
      </c>
    </row>
    <row r="166" spans="1:22" ht="12" customHeight="1">
      <c r="A166" s="193"/>
      <c r="B166" s="194"/>
      <c r="C166" s="193" t="s">
        <v>364</v>
      </c>
      <c r="D166" s="195">
        <v>36569</v>
      </c>
      <c r="E166" s="196" t="s">
        <v>62</v>
      </c>
      <c r="F166" s="197">
        <v>0.6347222222222222</v>
      </c>
      <c r="G166" s="197">
        <v>0.15972222222222224</v>
      </c>
      <c r="H166" s="198">
        <f t="shared" si="31"/>
        <v>0.7944444444444444</v>
      </c>
      <c r="I166" s="199"/>
      <c r="J166" s="199"/>
      <c r="K166" s="199">
        <f>(42*9+42)*2+2</f>
        <v>842</v>
      </c>
      <c r="L166" s="199"/>
      <c r="M166" s="199"/>
      <c r="N166" s="199"/>
      <c r="O166" s="200">
        <f t="shared" si="32"/>
        <v>0.9645952</v>
      </c>
      <c r="P166" s="201">
        <f t="shared" si="33"/>
        <v>0.033843894364444446</v>
      </c>
      <c r="Q166" s="201">
        <f t="shared" si="34"/>
        <v>0.0005913280432009877</v>
      </c>
      <c r="R166" s="201">
        <f t="shared" si="35"/>
        <v>6.92165900345734E-06</v>
      </c>
      <c r="S166" s="196" t="s">
        <v>63</v>
      </c>
      <c r="T166" s="203" t="s">
        <v>182</v>
      </c>
      <c r="U166" s="202" t="s">
        <v>314</v>
      </c>
      <c r="V166" s="193" t="s">
        <v>43</v>
      </c>
    </row>
    <row r="167" spans="1:22" ht="12" customHeight="1">
      <c r="A167" s="193"/>
      <c r="B167" s="194"/>
      <c r="C167" s="193" t="s">
        <v>364</v>
      </c>
      <c r="D167" s="195">
        <v>36569</v>
      </c>
      <c r="E167" s="196" t="s">
        <v>62</v>
      </c>
      <c r="F167" s="197">
        <v>0.7979166666666666</v>
      </c>
      <c r="G167" s="197">
        <v>0.034722222222222224</v>
      </c>
      <c r="H167" s="198">
        <f t="shared" si="31"/>
        <v>0.8326388888888888</v>
      </c>
      <c r="I167" s="199"/>
      <c r="J167" s="199"/>
      <c r="K167" s="199">
        <f>(2*7*3)+3+80*7+14+160*7+14</f>
        <v>1753</v>
      </c>
      <c r="L167" s="199"/>
      <c r="M167" s="199"/>
      <c r="N167" s="199"/>
      <c r="O167" s="200">
        <f t="shared" si="32"/>
        <v>2.0082368</v>
      </c>
      <c r="P167" s="201">
        <f t="shared" si="33"/>
        <v>0.07046121950222223</v>
      </c>
      <c r="Q167" s="201">
        <f t="shared" si="34"/>
        <v>0.001231114085191605</v>
      </c>
      <c r="R167" s="201">
        <f t="shared" si="35"/>
        <v>1.4410532343302514E-05</v>
      </c>
      <c r="S167" s="196" t="s">
        <v>63</v>
      </c>
      <c r="T167" s="203" t="s">
        <v>182</v>
      </c>
      <c r="U167" s="202" t="s">
        <v>315</v>
      </c>
      <c r="V167" s="193" t="s">
        <v>43</v>
      </c>
    </row>
    <row r="168" spans="1:22" ht="12" customHeight="1">
      <c r="A168" s="193"/>
      <c r="B168" s="194"/>
      <c r="C168" s="193" t="s">
        <v>364</v>
      </c>
      <c r="D168" s="195">
        <v>36569</v>
      </c>
      <c r="E168" s="196" t="s">
        <v>62</v>
      </c>
      <c r="F168" s="197">
        <v>0.8361111111111111</v>
      </c>
      <c r="G168" s="197">
        <v>0.010416666666666666</v>
      </c>
      <c r="H168" s="198">
        <f t="shared" si="31"/>
        <v>0.8465277777777778</v>
      </c>
      <c r="I168" s="199"/>
      <c r="J168" s="199"/>
      <c r="K168" s="199">
        <v>58</v>
      </c>
      <c r="L168" s="199"/>
      <c r="M168" s="199"/>
      <c r="N168" s="199"/>
      <c r="O168" s="200">
        <f t="shared" si="32"/>
        <v>0.0664448</v>
      </c>
      <c r="P168" s="201">
        <f t="shared" si="33"/>
        <v>0.0023312896355555555</v>
      </c>
      <c r="Q168" s="201">
        <f t="shared" si="34"/>
        <v>4.0732810576790126E-05</v>
      </c>
      <c r="R168" s="201">
        <f t="shared" si="35"/>
        <v>4.7678886247093314E-07</v>
      </c>
      <c r="S168" s="196" t="s">
        <v>63</v>
      </c>
      <c r="T168" s="203" t="s">
        <v>182</v>
      </c>
      <c r="U168" s="202" t="s">
        <v>316</v>
      </c>
      <c r="V168" s="193" t="s">
        <v>43</v>
      </c>
    </row>
    <row r="169" spans="1:22" ht="12" customHeight="1">
      <c r="A169" s="193"/>
      <c r="B169" s="194"/>
      <c r="C169" s="193" t="s">
        <v>364</v>
      </c>
      <c r="D169" s="195">
        <v>36569</v>
      </c>
      <c r="E169" s="196" t="s">
        <v>62</v>
      </c>
      <c r="F169" s="197">
        <v>0.8513888888888889</v>
      </c>
      <c r="G169" s="197">
        <v>0.12013888888888889</v>
      </c>
      <c r="H169" s="198">
        <f t="shared" si="31"/>
        <v>0.9715277777777778</v>
      </c>
      <c r="I169" s="199"/>
      <c r="J169" s="199"/>
      <c r="K169" s="199">
        <v>1386</v>
      </c>
      <c r="L169" s="199"/>
      <c r="M169" s="199"/>
      <c r="N169" s="199"/>
      <c r="O169" s="200">
        <f t="shared" si="32"/>
        <v>1.5878016000000001</v>
      </c>
      <c r="P169" s="201">
        <f t="shared" si="33"/>
        <v>0.05570978336000001</v>
      </c>
      <c r="Q169" s="201">
        <f t="shared" si="34"/>
        <v>0.0009733737148177779</v>
      </c>
      <c r="R169" s="201">
        <f t="shared" si="35"/>
        <v>1.139360971352954E-05</v>
      </c>
      <c r="S169" s="196" t="s">
        <v>63</v>
      </c>
      <c r="T169" s="203" t="s">
        <v>182</v>
      </c>
      <c r="U169" s="202" t="s">
        <v>317</v>
      </c>
      <c r="V169" s="193" t="s">
        <v>43</v>
      </c>
    </row>
    <row r="170" spans="1:22" ht="12" customHeight="1">
      <c r="A170" s="193"/>
      <c r="B170" s="194"/>
      <c r="C170" s="193" t="s">
        <v>364</v>
      </c>
      <c r="D170" s="195">
        <v>36569</v>
      </c>
      <c r="E170" s="196" t="s">
        <v>62</v>
      </c>
      <c r="F170" s="197">
        <v>0.975</v>
      </c>
      <c r="G170" s="197">
        <v>0.017361111111111112</v>
      </c>
      <c r="H170" s="198">
        <f t="shared" si="31"/>
        <v>0.9923611111111111</v>
      </c>
      <c r="I170" s="199"/>
      <c r="J170" s="199"/>
      <c r="K170" s="199">
        <v>82</v>
      </c>
      <c r="L170" s="199"/>
      <c r="M170" s="199"/>
      <c r="N170" s="199"/>
      <c r="O170" s="200">
        <f t="shared" si="32"/>
        <v>0.0939392</v>
      </c>
      <c r="P170" s="201">
        <f t="shared" si="33"/>
        <v>0.003295961208888889</v>
      </c>
      <c r="Q170" s="201">
        <f t="shared" si="34"/>
        <v>5.758776667753086E-05</v>
      </c>
      <c r="R170" s="201">
        <f t="shared" si="35"/>
        <v>6.740808055623536E-07</v>
      </c>
      <c r="S170" s="196" t="s">
        <v>63</v>
      </c>
      <c r="T170" s="203" t="s">
        <v>182</v>
      </c>
      <c r="U170" s="202" t="s">
        <v>343</v>
      </c>
      <c r="V170" s="193" t="s">
        <v>43</v>
      </c>
    </row>
    <row r="171" spans="1:22" ht="12" customHeight="1">
      <c r="A171" s="193"/>
      <c r="B171" s="194"/>
      <c r="C171" s="193" t="s">
        <v>364</v>
      </c>
      <c r="D171" s="195">
        <v>36569</v>
      </c>
      <c r="E171" s="196" t="s">
        <v>62</v>
      </c>
      <c r="F171" s="197">
        <v>0.9972222222222222</v>
      </c>
      <c r="G171" s="197">
        <v>0.0763888888888889</v>
      </c>
      <c r="H171" s="198">
        <f t="shared" si="31"/>
        <v>1.073611111111111</v>
      </c>
      <c r="I171" s="199"/>
      <c r="J171" s="199"/>
      <c r="K171" s="199">
        <v>810</v>
      </c>
      <c r="L171" s="199"/>
      <c r="M171" s="199"/>
      <c r="N171" s="199"/>
      <c r="O171" s="200">
        <f t="shared" si="32"/>
        <v>0.927936</v>
      </c>
      <c r="P171" s="201">
        <f t="shared" si="33"/>
        <v>0.0325576656</v>
      </c>
      <c r="Q171" s="201">
        <f t="shared" si="34"/>
        <v>0.0005688547684</v>
      </c>
      <c r="R171" s="201">
        <f t="shared" si="35"/>
        <v>6.6586030793354444E-06</v>
      </c>
      <c r="S171" s="196" t="s">
        <v>63</v>
      </c>
      <c r="T171" s="203" t="s">
        <v>182</v>
      </c>
      <c r="U171" s="202" t="s">
        <v>344</v>
      </c>
      <c r="V171" s="193" t="s">
        <v>43</v>
      </c>
    </row>
    <row r="172" spans="1:22" ht="12" customHeight="1">
      <c r="A172" s="193"/>
      <c r="B172" s="194"/>
      <c r="C172" s="193" t="s">
        <v>364</v>
      </c>
      <c r="D172" s="195">
        <v>36570</v>
      </c>
      <c r="E172" s="196" t="s">
        <v>66</v>
      </c>
      <c r="F172" s="197">
        <v>0.07569444444444444</v>
      </c>
      <c r="G172" s="197">
        <v>0.12222222222222223</v>
      </c>
      <c r="H172" s="198">
        <f t="shared" si="31"/>
        <v>0.19791666666666669</v>
      </c>
      <c r="I172" s="199"/>
      <c r="J172" s="199"/>
      <c r="K172" s="199">
        <v>519</v>
      </c>
      <c r="L172" s="199"/>
      <c r="M172" s="199"/>
      <c r="N172" s="199"/>
      <c r="O172" s="200">
        <f t="shared" si="32"/>
        <v>0.5945664</v>
      </c>
      <c r="P172" s="201">
        <f t="shared" si="33"/>
        <v>0.020861022773333338</v>
      </c>
      <c r="Q172" s="201">
        <f t="shared" si="34"/>
        <v>0.0003644884256785186</v>
      </c>
      <c r="R172" s="201">
        <f t="shared" si="35"/>
        <v>4.266438269351971E-06</v>
      </c>
      <c r="S172" s="196" t="s">
        <v>63</v>
      </c>
      <c r="T172" s="203" t="s">
        <v>182</v>
      </c>
      <c r="U172" s="202" t="s">
        <v>345</v>
      </c>
      <c r="V172" s="193" t="s">
        <v>43</v>
      </c>
    </row>
    <row r="173" spans="1:22" ht="12" customHeight="1">
      <c r="A173" s="193"/>
      <c r="B173" s="194"/>
      <c r="C173" s="193" t="s">
        <v>364</v>
      </c>
      <c r="D173" s="195">
        <v>36570</v>
      </c>
      <c r="E173" s="196" t="s">
        <v>66</v>
      </c>
      <c r="F173" s="197">
        <v>0.20138888888888887</v>
      </c>
      <c r="G173" s="197">
        <v>0.03819444444444444</v>
      </c>
      <c r="H173" s="198">
        <f t="shared" si="31"/>
        <v>0.23958333333333331</v>
      </c>
      <c r="I173" s="199"/>
      <c r="J173" s="199"/>
      <c r="K173" s="199">
        <f>(5*3+3)*12+12</f>
        <v>228</v>
      </c>
      <c r="L173" s="199"/>
      <c r="M173" s="199"/>
      <c r="N173" s="199"/>
      <c r="O173" s="200">
        <f t="shared" si="32"/>
        <v>0.2611968</v>
      </c>
      <c r="P173" s="201">
        <f t="shared" si="33"/>
        <v>0.009164379946666665</v>
      </c>
      <c r="Q173" s="201">
        <f t="shared" si="34"/>
        <v>0.00016012208295703703</v>
      </c>
      <c r="R173" s="201">
        <f t="shared" si="35"/>
        <v>1.8742734593684955E-06</v>
      </c>
      <c r="S173" s="196" t="s">
        <v>63</v>
      </c>
      <c r="T173" s="203" t="s">
        <v>182</v>
      </c>
      <c r="U173" s="202" t="s">
        <v>346</v>
      </c>
      <c r="V173" s="193" t="s">
        <v>43</v>
      </c>
    </row>
    <row r="174" spans="1:22" ht="12" customHeight="1">
      <c r="A174" s="193"/>
      <c r="B174" s="194"/>
      <c r="C174" s="193" t="s">
        <v>364</v>
      </c>
      <c r="D174" s="195">
        <v>36570</v>
      </c>
      <c r="E174" s="196" t="s">
        <v>66</v>
      </c>
      <c r="F174" s="197">
        <v>0.2423611111111111</v>
      </c>
      <c r="G174" s="197">
        <v>0.03819444444444444</v>
      </c>
      <c r="H174" s="198">
        <f t="shared" si="31"/>
        <v>0.28055555555555556</v>
      </c>
      <c r="I174" s="199"/>
      <c r="J174" s="199"/>
      <c r="K174" s="199">
        <v>161</v>
      </c>
      <c r="L174" s="199"/>
      <c r="M174" s="199"/>
      <c r="N174" s="199"/>
      <c r="O174" s="200">
        <f t="shared" si="32"/>
        <v>0.1844416</v>
      </c>
      <c r="P174" s="201">
        <f t="shared" si="33"/>
        <v>0.006471338471111111</v>
      </c>
      <c r="Q174" s="201">
        <f t="shared" si="34"/>
        <v>0.00011306866384246914</v>
      </c>
      <c r="R174" s="201">
        <f t="shared" si="35"/>
        <v>1.3235001182382798E-06</v>
      </c>
      <c r="S174" s="196" t="s">
        <v>63</v>
      </c>
      <c r="T174" s="203" t="s">
        <v>182</v>
      </c>
      <c r="U174" s="202" t="s">
        <v>347</v>
      </c>
      <c r="V174" s="193" t="s">
        <v>43</v>
      </c>
    </row>
    <row r="175" spans="1:22" ht="12" customHeight="1">
      <c r="A175" s="204" t="s">
        <v>277</v>
      </c>
      <c r="B175" s="194"/>
      <c r="C175" s="193" t="s">
        <v>364</v>
      </c>
      <c r="D175" s="195">
        <v>36570</v>
      </c>
      <c r="E175" s="196" t="s">
        <v>66</v>
      </c>
      <c r="F175" s="197">
        <v>0.28055555555555556</v>
      </c>
      <c r="G175" s="197"/>
      <c r="H175" s="198"/>
      <c r="I175" s="199"/>
      <c r="J175" s="199"/>
      <c r="K175" s="199"/>
      <c r="L175" s="199"/>
      <c r="M175" s="199"/>
      <c r="N175" s="199"/>
      <c r="O175" s="200"/>
      <c r="P175" s="201"/>
      <c r="Q175" s="201"/>
      <c r="R175" s="201"/>
      <c r="S175" s="193"/>
      <c r="T175" s="193"/>
      <c r="U175" s="193"/>
      <c r="V175" s="193"/>
    </row>
    <row r="176" spans="1:22" ht="13.5" thickBot="1">
      <c r="A176" s="205" t="s">
        <v>67</v>
      </c>
      <c r="B176" s="206">
        <v>63</v>
      </c>
      <c r="C176" s="207"/>
      <c r="D176" s="208">
        <v>36570</v>
      </c>
      <c r="E176" s="209" t="s">
        <v>66</v>
      </c>
      <c r="F176" s="210">
        <v>0.3576388888888889</v>
      </c>
      <c r="G176" s="210">
        <v>0.09722222222222222</v>
      </c>
      <c r="H176" s="211">
        <f>SUM(F176:G176)</f>
        <v>0.4548611111111111</v>
      </c>
      <c r="I176" s="207"/>
      <c r="J176" s="207"/>
      <c r="K176" s="212"/>
      <c r="L176" s="207"/>
      <c r="M176" s="207"/>
      <c r="N176" s="207"/>
      <c r="O176" s="213">
        <f>SUM(O161:O174)</f>
        <v>14.187687400000002</v>
      </c>
      <c r="P176" s="213">
        <f>SUM(P161:P175)</f>
        <v>0.49779077652611115</v>
      </c>
      <c r="Q176" s="213">
        <f>SUM(Q161:Q175)</f>
        <v>0.09957908157906618</v>
      </c>
      <c r="R176" s="213">
        <f>SUM(R161:R175)</f>
        <v>0.06316188822212494</v>
      </c>
      <c r="S176" s="214"/>
      <c r="T176" s="215"/>
      <c r="U176" s="216" t="s">
        <v>246</v>
      </c>
      <c r="V176" s="217"/>
    </row>
    <row r="177" spans="1:22" ht="25.5">
      <c r="A177" s="382" t="s">
        <v>68</v>
      </c>
      <c r="B177" s="383"/>
      <c r="C177" s="384"/>
      <c r="D177" s="385"/>
      <c r="E177" s="386"/>
      <c r="F177" s="387"/>
      <c r="G177" s="387"/>
      <c r="H177" s="388"/>
      <c r="I177" s="389"/>
      <c r="J177" s="390"/>
      <c r="K177" s="391">
        <f>SUM(K18:K161)-K159-K152-K150-K145-K125-K119-K111-K98-K95-K89-K77-K75-K73-SUM(K47:K61)-K31</f>
        <v>9698</v>
      </c>
      <c r="L177" s="389"/>
      <c r="M177" s="389"/>
      <c r="N177" s="389"/>
      <c r="O177" s="392"/>
      <c r="P177" s="392"/>
      <c r="Q177" s="392"/>
      <c r="R177" s="392"/>
      <c r="S177" s="393"/>
      <c r="T177" s="394"/>
      <c r="U177" s="395"/>
      <c r="V177" s="384"/>
    </row>
    <row r="178" spans="1:22" ht="26.25" thickBot="1">
      <c r="A178" s="396" t="s">
        <v>69</v>
      </c>
      <c r="B178" s="397"/>
      <c r="C178" s="153"/>
      <c r="D178" s="154"/>
      <c r="E178" s="155"/>
      <c r="F178" s="398"/>
      <c r="G178" s="398"/>
      <c r="H178" s="120"/>
      <c r="I178" s="399"/>
      <c r="J178" s="400"/>
      <c r="K178" s="401">
        <f>SUM(K162:K175)+K159+K152+K150+K145+K125+K119+K111+K98+K95+K89+K77+K75+K73+SUM(K48:K60)+K31+SUM(K3:K15)</f>
        <v>48785</v>
      </c>
      <c r="L178" s="399"/>
      <c r="M178" s="399"/>
      <c r="N178" s="399"/>
      <c r="O178" s="402"/>
      <c r="P178" s="402"/>
      <c r="Q178" s="402"/>
      <c r="R178" s="402"/>
      <c r="S178" s="137"/>
      <c r="T178" s="403"/>
      <c r="U178" s="404"/>
      <c r="V178" s="153"/>
    </row>
    <row r="179" spans="1:22" ht="12.75">
      <c r="A179" s="218" t="s">
        <v>247</v>
      </c>
      <c r="B179" s="219"/>
      <c r="C179" s="218"/>
      <c r="D179" s="220">
        <v>36570</v>
      </c>
      <c r="E179" s="221" t="s">
        <v>66</v>
      </c>
      <c r="F179" s="222">
        <v>0.6479166666666667</v>
      </c>
      <c r="G179" s="223"/>
      <c r="H179" s="224"/>
      <c r="I179" s="223"/>
      <c r="J179" s="223"/>
      <c r="K179" s="223"/>
      <c r="L179" s="223"/>
      <c r="M179" s="223"/>
      <c r="N179" s="223"/>
      <c r="O179" s="225"/>
      <c r="P179" s="226"/>
      <c r="Q179" s="226"/>
      <c r="R179" s="226"/>
      <c r="S179" s="221"/>
      <c r="T179" s="221"/>
      <c r="U179" s="218"/>
      <c r="V179" s="218"/>
    </row>
    <row r="180" spans="1:22" ht="25.5">
      <c r="A180" s="183" t="s">
        <v>248</v>
      </c>
      <c r="B180" s="184"/>
      <c r="C180" s="183" t="s">
        <v>357</v>
      </c>
      <c r="D180" s="185">
        <v>36570</v>
      </c>
      <c r="E180" s="186" t="s">
        <v>66</v>
      </c>
      <c r="F180" s="187">
        <v>0.6895833333333333</v>
      </c>
      <c r="G180" s="188">
        <v>0.013888888888888888</v>
      </c>
      <c r="H180" s="188">
        <f aca="true" t="shared" si="36" ref="H180:H213">SUM(F180:G180)</f>
        <v>0.7034722222222222</v>
      </c>
      <c r="I180" s="184" t="s">
        <v>294</v>
      </c>
      <c r="J180" s="184">
        <v>8</v>
      </c>
      <c r="K180" s="184">
        <v>12</v>
      </c>
      <c r="L180" s="184">
        <v>27</v>
      </c>
      <c r="M180" s="184">
        <v>4</v>
      </c>
      <c r="N180" s="184">
        <v>2.5</v>
      </c>
      <c r="O180" s="189">
        <f>2*K180*1625088/N180/(1024*1024)</f>
        <v>14.878125</v>
      </c>
      <c r="P180" s="190">
        <f>O180*126.31/3600</f>
        <v>0.5220155468750001</v>
      </c>
      <c r="Q180" s="190">
        <f>O180*63/3600</f>
        <v>0.26036718750000004</v>
      </c>
      <c r="R180" s="190">
        <f>O180*42.139/3600</f>
        <v>0.17415258593750002</v>
      </c>
      <c r="S180" s="186" t="s">
        <v>63</v>
      </c>
      <c r="T180" s="186" t="s">
        <v>182</v>
      </c>
      <c r="U180" s="183" t="s">
        <v>249</v>
      </c>
      <c r="V180" s="183" t="s">
        <v>43</v>
      </c>
    </row>
    <row r="181" spans="1:22" ht="12.75">
      <c r="A181" s="205" t="s">
        <v>67</v>
      </c>
      <c r="B181" s="206">
        <v>43</v>
      </c>
      <c r="C181" s="207"/>
      <c r="D181" s="227">
        <v>36570</v>
      </c>
      <c r="E181" s="214" t="s">
        <v>66</v>
      </c>
      <c r="F181" s="210">
        <v>0.7083333333333334</v>
      </c>
      <c r="G181" s="210">
        <v>0.14583333333333334</v>
      </c>
      <c r="H181" s="211">
        <f t="shared" si="36"/>
        <v>0.8541666666666667</v>
      </c>
      <c r="I181" s="207"/>
      <c r="J181" s="207"/>
      <c r="K181" s="207"/>
      <c r="L181" s="207"/>
      <c r="M181" s="207"/>
      <c r="N181" s="207"/>
      <c r="O181" s="213">
        <f>SUM(O180)</f>
        <v>14.878125</v>
      </c>
      <c r="P181" s="213">
        <f>SUM(P180)</f>
        <v>0.5220155468750001</v>
      </c>
      <c r="Q181" s="213">
        <f>SUM(Q180)</f>
        <v>0.26036718750000004</v>
      </c>
      <c r="R181" s="213">
        <f>SUM(R180)</f>
        <v>0.17415258593750002</v>
      </c>
      <c r="S181" s="214"/>
      <c r="T181" s="214"/>
      <c r="U181" s="217"/>
      <c r="V181" s="217"/>
    </row>
    <row r="182" spans="1:22" ht="25.5">
      <c r="A182" s="228" t="s">
        <v>250</v>
      </c>
      <c r="B182" s="184"/>
      <c r="C182" s="183" t="s">
        <v>357</v>
      </c>
      <c r="D182" s="185">
        <v>36570</v>
      </c>
      <c r="E182" s="186" t="s">
        <v>66</v>
      </c>
      <c r="F182" s="187">
        <v>0.85625</v>
      </c>
      <c r="G182" s="188">
        <v>0.013888888888888888</v>
      </c>
      <c r="H182" s="188">
        <f t="shared" si="36"/>
        <v>0.8701388888888888</v>
      </c>
      <c r="I182" s="229" t="s">
        <v>294</v>
      </c>
      <c r="J182" s="229">
        <v>8</v>
      </c>
      <c r="K182" s="184">
        <v>12</v>
      </c>
      <c r="L182" s="184">
        <v>27</v>
      </c>
      <c r="M182" s="184">
        <v>4</v>
      </c>
      <c r="N182" s="184">
        <v>2.5</v>
      </c>
      <c r="O182" s="189">
        <f>2*K182*1625088/N182/(1024*1024)</f>
        <v>14.878125</v>
      </c>
      <c r="P182" s="190">
        <f>O182*126.31/3600</f>
        <v>0.5220155468750001</v>
      </c>
      <c r="Q182" s="190">
        <f>O182*63/3600</f>
        <v>0.26036718750000004</v>
      </c>
      <c r="R182" s="190">
        <f>O182*42.139/3600</f>
        <v>0.17415258593750002</v>
      </c>
      <c r="S182" s="186" t="s">
        <v>63</v>
      </c>
      <c r="T182" s="186" t="s">
        <v>182</v>
      </c>
      <c r="U182" s="183" t="s">
        <v>251</v>
      </c>
      <c r="V182" s="183" t="s">
        <v>43</v>
      </c>
    </row>
    <row r="183" spans="1:22" ht="12.75">
      <c r="A183" s="205" t="s">
        <v>67</v>
      </c>
      <c r="B183" s="206">
        <v>43</v>
      </c>
      <c r="C183" s="207"/>
      <c r="D183" s="227">
        <v>36570</v>
      </c>
      <c r="E183" s="214" t="s">
        <v>66</v>
      </c>
      <c r="F183" s="210">
        <v>0.875</v>
      </c>
      <c r="G183" s="210">
        <v>0.15625</v>
      </c>
      <c r="H183" s="211">
        <f t="shared" si="36"/>
        <v>1.03125</v>
      </c>
      <c r="I183" s="207"/>
      <c r="J183" s="207"/>
      <c r="K183" s="207"/>
      <c r="L183" s="207"/>
      <c r="M183" s="207"/>
      <c r="N183" s="207"/>
      <c r="O183" s="213">
        <f>SUM(O182:O182)</f>
        <v>14.878125</v>
      </c>
      <c r="P183" s="213">
        <f>SUM(P182)</f>
        <v>0.5220155468750001</v>
      </c>
      <c r="Q183" s="213">
        <f>SUM(Q182)</f>
        <v>0.26036718750000004</v>
      </c>
      <c r="R183" s="213">
        <f>SUM(R182)</f>
        <v>0.17415258593750002</v>
      </c>
      <c r="S183" s="214"/>
      <c r="T183" s="214"/>
      <c r="U183" s="217"/>
      <c r="V183" s="217"/>
    </row>
    <row r="184" spans="1:22" ht="12.75" customHeight="1">
      <c r="A184" s="228" t="s">
        <v>252</v>
      </c>
      <c r="B184" s="184"/>
      <c r="C184" s="183" t="s">
        <v>357</v>
      </c>
      <c r="D184" s="185">
        <v>36571</v>
      </c>
      <c r="E184" s="186" t="s">
        <v>253</v>
      </c>
      <c r="F184" s="187">
        <v>0.0763888888888889</v>
      </c>
      <c r="G184" s="188">
        <v>0.0125</v>
      </c>
      <c r="H184" s="188">
        <f t="shared" si="36"/>
        <v>0.08888888888888889</v>
      </c>
      <c r="I184" s="229" t="s">
        <v>324</v>
      </c>
      <c r="J184" s="229">
        <v>8</v>
      </c>
      <c r="K184" s="184">
        <v>9</v>
      </c>
      <c r="L184" s="184">
        <v>27</v>
      </c>
      <c r="M184" s="184">
        <v>4</v>
      </c>
      <c r="N184" s="184">
        <v>2.5</v>
      </c>
      <c r="O184" s="189">
        <f>K184*1625088/N184/(1024*1024)</f>
        <v>5.579296875</v>
      </c>
      <c r="P184" s="190">
        <f>O184*126.31/3600</f>
        <v>0.195755830078125</v>
      </c>
      <c r="Q184" s="190">
        <f>O184*63/3600</f>
        <v>0.0976376953125</v>
      </c>
      <c r="R184" s="190">
        <f>O184*42.139/3600</f>
        <v>0.0653072197265625</v>
      </c>
      <c r="S184" s="186" t="s">
        <v>63</v>
      </c>
      <c r="T184" s="186" t="s">
        <v>182</v>
      </c>
      <c r="U184" s="183" t="s">
        <v>254</v>
      </c>
      <c r="V184" s="183" t="s">
        <v>43</v>
      </c>
    </row>
    <row r="185" spans="1:22" ht="12.75" customHeight="1">
      <c r="A185" s="228" t="s">
        <v>255</v>
      </c>
      <c r="B185" s="184"/>
      <c r="C185" s="183" t="s">
        <v>357</v>
      </c>
      <c r="D185" s="185">
        <v>36571</v>
      </c>
      <c r="E185" s="186" t="s">
        <v>253</v>
      </c>
      <c r="F185" s="187">
        <v>0.34027777777777773</v>
      </c>
      <c r="G185" s="188">
        <v>0.0125</v>
      </c>
      <c r="H185" s="188">
        <f t="shared" si="36"/>
        <v>0.35277777777777775</v>
      </c>
      <c r="I185" s="229" t="s">
        <v>324</v>
      </c>
      <c r="J185" s="229">
        <v>8</v>
      </c>
      <c r="K185" s="184">
        <v>9</v>
      </c>
      <c r="L185" s="184">
        <v>27</v>
      </c>
      <c r="M185" s="184">
        <v>4</v>
      </c>
      <c r="N185" s="184">
        <v>2.5</v>
      </c>
      <c r="O185" s="189">
        <f>K185*1625088/N185/(1024*1024)</f>
        <v>5.579296875</v>
      </c>
      <c r="P185" s="190">
        <f>O185*126.31/3600</f>
        <v>0.195755830078125</v>
      </c>
      <c r="Q185" s="190">
        <f>O185*63/3600</f>
        <v>0.0976376953125</v>
      </c>
      <c r="R185" s="190">
        <f>O185*42.139/3600</f>
        <v>0.0653072197265625</v>
      </c>
      <c r="S185" s="186" t="s">
        <v>63</v>
      </c>
      <c r="T185" s="186" t="s">
        <v>182</v>
      </c>
      <c r="U185" s="183" t="s">
        <v>254</v>
      </c>
      <c r="V185" s="183" t="s">
        <v>43</v>
      </c>
    </row>
    <row r="186" spans="1:22" ht="25.5">
      <c r="A186" s="183" t="s">
        <v>256</v>
      </c>
      <c r="B186" s="184"/>
      <c r="C186" s="183" t="s">
        <v>357</v>
      </c>
      <c r="D186" s="185">
        <v>36571</v>
      </c>
      <c r="E186" s="186" t="s">
        <v>253</v>
      </c>
      <c r="F186" s="187">
        <v>0.4583333333333333</v>
      </c>
      <c r="G186" s="188">
        <v>0.017361111111111112</v>
      </c>
      <c r="H186" s="188">
        <f t="shared" si="36"/>
        <v>0.4756944444444444</v>
      </c>
      <c r="I186" s="184"/>
      <c r="J186" s="184">
        <v>8</v>
      </c>
      <c r="K186" s="184">
        <v>16</v>
      </c>
      <c r="L186" s="184">
        <v>18</v>
      </c>
      <c r="M186" s="184">
        <v>4</v>
      </c>
      <c r="N186" s="184">
        <v>2.6</v>
      </c>
      <c r="O186" s="189">
        <f>K186*1625088/N186/(1024*1024)</f>
        <v>9.537259615384615</v>
      </c>
      <c r="P186" s="190">
        <f>O186*126.31/3600</f>
        <v>0.3346253505608974</v>
      </c>
      <c r="Q186" s="190">
        <f>O186*63/3600</f>
        <v>0.16690204326923075</v>
      </c>
      <c r="R186" s="190">
        <f>O186*42.139/3600</f>
        <v>0.11163627303685898</v>
      </c>
      <c r="S186" s="186" t="s">
        <v>63</v>
      </c>
      <c r="T186" s="186" t="s">
        <v>182</v>
      </c>
      <c r="U186" s="183" t="s">
        <v>257</v>
      </c>
      <c r="V186" s="183" t="s">
        <v>43</v>
      </c>
    </row>
    <row r="187" spans="1:22" ht="25.5">
      <c r="A187" s="193" t="s">
        <v>258</v>
      </c>
      <c r="B187" s="199"/>
      <c r="C187" s="193" t="s">
        <v>357</v>
      </c>
      <c r="D187" s="195">
        <v>36571</v>
      </c>
      <c r="E187" s="196" t="s">
        <v>253</v>
      </c>
      <c r="F187" s="197">
        <v>0.4583333333333333</v>
      </c>
      <c r="G187" s="198">
        <v>0.017361111111111112</v>
      </c>
      <c r="H187" s="198">
        <f t="shared" si="36"/>
        <v>0.4756944444444444</v>
      </c>
      <c r="I187" s="199"/>
      <c r="J187" s="199"/>
      <c r="K187" s="199">
        <v>196</v>
      </c>
      <c r="L187" s="199"/>
      <c r="M187" s="199"/>
      <c r="N187" s="199"/>
      <c r="O187" s="200">
        <f>K187*2864/2.5/1000000</f>
        <v>0.2245376</v>
      </c>
      <c r="P187" s="201">
        <f>O187*126.31/3600</f>
        <v>0.007878151182222223</v>
      </c>
      <c r="Q187" s="201">
        <f>O187*63/3600</f>
        <v>0.0039294080000000006</v>
      </c>
      <c r="R187" s="201">
        <f>O187*42.139/3600</f>
        <v>0.002628274979555556</v>
      </c>
      <c r="S187" s="196" t="s">
        <v>63</v>
      </c>
      <c r="T187" s="196" t="s">
        <v>182</v>
      </c>
      <c r="U187" s="193" t="s">
        <v>259</v>
      </c>
      <c r="V187" s="193" t="s">
        <v>43</v>
      </c>
    </row>
    <row r="188" spans="1:22" ht="12.75" customHeight="1">
      <c r="A188" s="228" t="s">
        <v>260</v>
      </c>
      <c r="B188" s="184"/>
      <c r="C188" s="183" t="s">
        <v>357</v>
      </c>
      <c r="D188" s="185">
        <v>36571</v>
      </c>
      <c r="E188" s="186" t="s">
        <v>253</v>
      </c>
      <c r="F188" s="187">
        <v>0.6041666666666666</v>
      </c>
      <c r="G188" s="188">
        <v>0.0125</v>
      </c>
      <c r="H188" s="188">
        <f t="shared" si="36"/>
        <v>0.6166666666666666</v>
      </c>
      <c r="I188" s="229" t="s">
        <v>324</v>
      </c>
      <c r="J188" s="229">
        <v>8</v>
      </c>
      <c r="K188" s="184">
        <v>9</v>
      </c>
      <c r="L188" s="184">
        <v>27</v>
      </c>
      <c r="M188" s="184">
        <v>4</v>
      </c>
      <c r="N188" s="184">
        <v>2.5</v>
      </c>
      <c r="O188" s="189">
        <f>K188*1625088/N188/(1024*1024)</f>
        <v>5.579296875</v>
      </c>
      <c r="P188" s="190">
        <f>O188*126.31/3600</f>
        <v>0.195755830078125</v>
      </c>
      <c r="Q188" s="190">
        <f>O188*63/3600</f>
        <v>0.0976376953125</v>
      </c>
      <c r="R188" s="190">
        <f>O188*42.139/3600</f>
        <v>0.0653072197265625</v>
      </c>
      <c r="S188" s="186" t="s">
        <v>63</v>
      </c>
      <c r="T188" s="186" t="s">
        <v>182</v>
      </c>
      <c r="U188" s="183" t="s">
        <v>254</v>
      </c>
      <c r="V188" s="183" t="s">
        <v>43</v>
      </c>
    </row>
    <row r="189" spans="1:22" ht="12.75">
      <c r="A189" s="174" t="s">
        <v>261</v>
      </c>
      <c r="B189" s="175">
        <v>45</v>
      </c>
      <c r="C189" s="176"/>
      <c r="D189" s="177">
        <v>36571</v>
      </c>
      <c r="E189" s="178" t="s">
        <v>253</v>
      </c>
      <c r="F189" s="179">
        <v>0.6180555555555556</v>
      </c>
      <c r="G189" s="179">
        <v>0.3298611111111111</v>
      </c>
      <c r="H189" s="180">
        <f t="shared" si="36"/>
        <v>0.9479166666666667</v>
      </c>
      <c r="I189" s="176"/>
      <c r="J189" s="176"/>
      <c r="K189" s="176"/>
      <c r="L189" s="176"/>
      <c r="M189" s="176"/>
      <c r="N189" s="176"/>
      <c r="O189" s="181">
        <f>SUM(O184:O188)</f>
        <v>26.499687840384617</v>
      </c>
      <c r="P189" s="181">
        <f>SUM(P184:P188)</f>
        <v>0.9297709919774947</v>
      </c>
      <c r="Q189" s="181">
        <f>SUM(Q184:Q188)</f>
        <v>0.46374453720673076</v>
      </c>
      <c r="R189" s="181">
        <f>SUM(R184:R188)</f>
        <v>0.310186207196102</v>
      </c>
      <c r="S189" s="178"/>
      <c r="T189" s="178"/>
      <c r="U189" s="182"/>
      <c r="V189" s="182"/>
    </row>
    <row r="190" spans="1:22" ht="12.75" customHeight="1">
      <c r="A190" s="228" t="s">
        <v>262</v>
      </c>
      <c r="B190" s="184"/>
      <c r="C190" s="183" t="s">
        <v>357</v>
      </c>
      <c r="D190" s="185">
        <v>36571</v>
      </c>
      <c r="E190" s="186" t="s">
        <v>253</v>
      </c>
      <c r="F190" s="187">
        <v>0.9513888888888888</v>
      </c>
      <c r="G190" s="188">
        <v>0.0125</v>
      </c>
      <c r="H190" s="188">
        <f t="shared" si="36"/>
        <v>0.9638888888888888</v>
      </c>
      <c r="I190" s="229" t="s">
        <v>324</v>
      </c>
      <c r="J190" s="229">
        <v>8</v>
      </c>
      <c r="K190" s="184">
        <v>9</v>
      </c>
      <c r="L190" s="184">
        <v>27</v>
      </c>
      <c r="M190" s="184">
        <v>4</v>
      </c>
      <c r="N190" s="184">
        <v>2.5</v>
      </c>
      <c r="O190" s="189">
        <f>K190*1625088/N190/(1024*1024)</f>
        <v>5.579296875</v>
      </c>
      <c r="P190" s="190">
        <f aca="true" t="shared" si="37" ref="P190:P196">O190*126.31/3600</f>
        <v>0.195755830078125</v>
      </c>
      <c r="Q190" s="190">
        <f>O190*63/3600</f>
        <v>0.0976376953125</v>
      </c>
      <c r="R190" s="190">
        <f aca="true" t="shared" si="38" ref="R190:R196">O190*42.139/3600</f>
        <v>0.0653072197265625</v>
      </c>
      <c r="S190" s="186" t="s">
        <v>63</v>
      </c>
      <c r="T190" s="186" t="s">
        <v>182</v>
      </c>
      <c r="U190" s="183" t="s">
        <v>254</v>
      </c>
      <c r="V190" s="183" t="s">
        <v>43</v>
      </c>
    </row>
    <row r="191" spans="1:22" ht="25.5">
      <c r="A191" s="183" t="s">
        <v>263</v>
      </c>
      <c r="B191" s="184"/>
      <c r="C191" s="183" t="s">
        <v>357</v>
      </c>
      <c r="D191" s="185">
        <v>36572</v>
      </c>
      <c r="E191" s="186" t="s">
        <v>264</v>
      </c>
      <c r="F191" s="187">
        <v>0.08333333333333333</v>
      </c>
      <c r="G191" s="188">
        <v>0.017361111111111112</v>
      </c>
      <c r="H191" s="188">
        <f t="shared" si="36"/>
        <v>0.10069444444444445</v>
      </c>
      <c r="I191" s="184"/>
      <c r="J191" s="184">
        <v>8</v>
      </c>
      <c r="K191" s="184">
        <v>16</v>
      </c>
      <c r="L191" s="184">
        <v>18</v>
      </c>
      <c r="M191" s="184">
        <v>4</v>
      </c>
      <c r="N191" s="184">
        <v>2.6</v>
      </c>
      <c r="O191" s="189">
        <f>K191*1625088/N191/(1024*1024)</f>
        <v>9.537259615384615</v>
      </c>
      <c r="P191" s="190">
        <f t="shared" si="37"/>
        <v>0.3346253505608974</v>
      </c>
      <c r="Q191" s="190">
        <f>O191*63/3600</f>
        <v>0.16690204326923075</v>
      </c>
      <c r="R191" s="190">
        <f t="shared" si="38"/>
        <v>0.11163627303685898</v>
      </c>
      <c r="S191" s="186" t="s">
        <v>63</v>
      </c>
      <c r="T191" s="186" t="s">
        <v>182</v>
      </c>
      <c r="U191" s="183" t="s">
        <v>265</v>
      </c>
      <c r="V191" s="183" t="s">
        <v>43</v>
      </c>
    </row>
    <row r="192" spans="1:22" ht="25.5">
      <c r="A192" s="193" t="s">
        <v>266</v>
      </c>
      <c r="B192" s="199"/>
      <c r="C192" s="193" t="s">
        <v>357</v>
      </c>
      <c r="D192" s="195">
        <v>36572</v>
      </c>
      <c r="E192" s="196" t="s">
        <v>264</v>
      </c>
      <c r="F192" s="197">
        <v>0.08333333333333333</v>
      </c>
      <c r="G192" s="198">
        <v>0.017361111111111112</v>
      </c>
      <c r="H192" s="198">
        <f t="shared" si="36"/>
        <v>0.10069444444444445</v>
      </c>
      <c r="I192" s="199"/>
      <c r="J192" s="199"/>
      <c r="K192" s="199">
        <v>196</v>
      </c>
      <c r="L192" s="199"/>
      <c r="M192" s="199"/>
      <c r="N192" s="199"/>
      <c r="O192" s="200">
        <f>K192*2864/2.5/1000000</f>
        <v>0.2245376</v>
      </c>
      <c r="P192" s="201">
        <f t="shared" si="37"/>
        <v>0.007878151182222223</v>
      </c>
      <c r="Q192" s="201">
        <f>O192*63/3600</f>
        <v>0.0039294080000000006</v>
      </c>
      <c r="R192" s="201">
        <f t="shared" si="38"/>
        <v>0.002628274979555556</v>
      </c>
      <c r="S192" s="196" t="s">
        <v>63</v>
      </c>
      <c r="T192" s="196" t="s">
        <v>182</v>
      </c>
      <c r="U192" s="193" t="s">
        <v>72</v>
      </c>
      <c r="V192" s="193" t="s">
        <v>43</v>
      </c>
    </row>
    <row r="193" spans="1:22" ht="12.75" customHeight="1">
      <c r="A193" s="228" t="s">
        <v>73</v>
      </c>
      <c r="B193" s="184"/>
      <c r="C193" s="183" t="s">
        <v>357</v>
      </c>
      <c r="D193" s="185">
        <v>36572</v>
      </c>
      <c r="E193" s="186" t="s">
        <v>264</v>
      </c>
      <c r="F193" s="187">
        <v>0.22916666666666666</v>
      </c>
      <c r="G193" s="188">
        <v>0.0125</v>
      </c>
      <c r="H193" s="188">
        <f t="shared" si="36"/>
        <v>0.24166666666666667</v>
      </c>
      <c r="I193" s="229" t="s">
        <v>324</v>
      </c>
      <c r="J193" s="229">
        <v>8</v>
      </c>
      <c r="K193" s="184">
        <v>9</v>
      </c>
      <c r="L193" s="184">
        <v>27</v>
      </c>
      <c r="M193" s="184">
        <v>4</v>
      </c>
      <c r="N193" s="184">
        <v>2.5</v>
      </c>
      <c r="O193" s="189">
        <f>K193*1625088/N193/(1024*1024)</f>
        <v>5.579296875</v>
      </c>
      <c r="P193" s="190">
        <f t="shared" si="37"/>
        <v>0.195755830078125</v>
      </c>
      <c r="Q193" s="190">
        <f>O193*63/3600</f>
        <v>0.0976376953125</v>
      </c>
      <c r="R193" s="190">
        <f t="shared" si="38"/>
        <v>0.0653072197265625</v>
      </c>
      <c r="S193" s="186" t="s">
        <v>63</v>
      </c>
      <c r="T193" s="186" t="s">
        <v>182</v>
      </c>
      <c r="U193" s="183" t="s">
        <v>254</v>
      </c>
      <c r="V193" s="183" t="s">
        <v>43</v>
      </c>
    </row>
    <row r="194" spans="1:22" ht="12.75" customHeight="1">
      <c r="A194" s="193" t="s">
        <v>74</v>
      </c>
      <c r="B194" s="199"/>
      <c r="C194" s="193" t="s">
        <v>364</v>
      </c>
      <c r="D194" s="195">
        <v>36572</v>
      </c>
      <c r="E194" s="196" t="s">
        <v>264</v>
      </c>
      <c r="F194" s="197">
        <v>0.3229166666666667</v>
      </c>
      <c r="G194" s="197">
        <v>0.041666666666666664</v>
      </c>
      <c r="H194" s="198">
        <f t="shared" si="36"/>
        <v>0.36458333333333337</v>
      </c>
      <c r="I194" s="199"/>
      <c r="J194" s="199"/>
      <c r="K194" s="199">
        <v>100</v>
      </c>
      <c r="L194" s="199"/>
      <c r="M194" s="199"/>
      <c r="N194" s="199"/>
      <c r="O194" s="200">
        <f>K194*2864/2.5/1000000</f>
        <v>0.11456</v>
      </c>
      <c r="P194" s="201">
        <f t="shared" si="37"/>
        <v>0.004019464888888889</v>
      </c>
      <c r="Q194" s="201">
        <f>O194*1000/17.6/3600</f>
        <v>0.001808080808080808</v>
      </c>
      <c r="R194" s="201">
        <f t="shared" si="38"/>
        <v>0.0013409566222222222</v>
      </c>
      <c r="S194" s="196" t="s">
        <v>63</v>
      </c>
      <c r="T194" s="196" t="s">
        <v>75</v>
      </c>
      <c r="U194" s="193" t="s">
        <v>76</v>
      </c>
      <c r="V194" s="193" t="s">
        <v>43</v>
      </c>
    </row>
    <row r="195" spans="1:22" ht="25.5" customHeight="1">
      <c r="A195" s="336" t="s">
        <v>77</v>
      </c>
      <c r="B195" s="337"/>
      <c r="C195" s="338" t="s">
        <v>190</v>
      </c>
      <c r="D195" s="339">
        <v>36572</v>
      </c>
      <c r="E195" s="340" t="s">
        <v>264</v>
      </c>
      <c r="F195" s="341">
        <v>0.3854166666666667</v>
      </c>
      <c r="G195" s="342">
        <v>0.2569444444444445</v>
      </c>
      <c r="H195" s="342">
        <f t="shared" si="36"/>
        <v>0.6423611111111112</v>
      </c>
      <c r="I195" s="337"/>
      <c r="J195" s="343">
        <v>8</v>
      </c>
      <c r="K195" s="337">
        <v>243</v>
      </c>
      <c r="L195" s="337">
        <v>18</v>
      </c>
      <c r="M195" s="337">
        <v>4</v>
      </c>
      <c r="N195" s="337">
        <v>2.6</v>
      </c>
      <c r="O195" s="344">
        <f>K195*1625088/N195/(1024*1024)</f>
        <v>144.84713040865384</v>
      </c>
      <c r="P195" s="345">
        <f t="shared" si="37"/>
        <v>5.08212251164363</v>
      </c>
      <c r="Q195" s="345">
        <f>O195*63/3600</f>
        <v>2.5348247821514422</v>
      </c>
      <c r="R195" s="345">
        <f t="shared" si="38"/>
        <v>1.6954758967472958</v>
      </c>
      <c r="S195" s="340" t="s">
        <v>63</v>
      </c>
      <c r="T195" s="340" t="s">
        <v>182</v>
      </c>
      <c r="U195" s="338" t="s">
        <v>78</v>
      </c>
      <c r="V195" s="338" t="s">
        <v>43</v>
      </c>
    </row>
    <row r="196" spans="1:22" ht="12.75" customHeight="1">
      <c r="A196" s="230" t="s">
        <v>79</v>
      </c>
      <c r="B196" s="199"/>
      <c r="C196" s="193" t="s">
        <v>190</v>
      </c>
      <c r="D196" s="195">
        <v>36572</v>
      </c>
      <c r="E196" s="196" t="s">
        <v>264</v>
      </c>
      <c r="F196" s="197">
        <v>0.3854166666666667</v>
      </c>
      <c r="G196" s="198">
        <v>0.2569444444444445</v>
      </c>
      <c r="H196" s="198">
        <f t="shared" si="36"/>
        <v>0.6423611111111112</v>
      </c>
      <c r="I196" s="231"/>
      <c r="J196" s="231"/>
      <c r="K196" s="199">
        <v>2916</v>
      </c>
      <c r="L196" s="199"/>
      <c r="M196" s="199"/>
      <c r="N196" s="199"/>
      <c r="O196" s="200">
        <f>K196*2864/2.5/1000000</f>
        <v>3.3405696000000002</v>
      </c>
      <c r="P196" s="201">
        <f t="shared" si="37"/>
        <v>0.11720759616000001</v>
      </c>
      <c r="Q196" s="201">
        <f>O196*63/3600</f>
        <v>0.058459968</v>
      </c>
      <c r="R196" s="201">
        <f t="shared" si="38"/>
        <v>0.039102295104000005</v>
      </c>
      <c r="S196" s="196" t="s">
        <v>63</v>
      </c>
      <c r="T196" s="196" t="s">
        <v>182</v>
      </c>
      <c r="U196" s="193" t="s">
        <v>80</v>
      </c>
      <c r="V196" s="193" t="s">
        <v>43</v>
      </c>
    </row>
    <row r="197" spans="1:22" ht="13.5" thickBot="1">
      <c r="A197" s="232" t="s">
        <v>67</v>
      </c>
      <c r="B197" s="233">
        <v>43</v>
      </c>
      <c r="C197" s="234"/>
      <c r="D197" s="235">
        <v>36572</v>
      </c>
      <c r="E197" s="236" t="s">
        <v>264</v>
      </c>
      <c r="F197" s="237">
        <v>0.6493055555555556</v>
      </c>
      <c r="G197" s="237">
        <v>0.2152777777777778</v>
      </c>
      <c r="H197" s="238">
        <f t="shared" si="36"/>
        <v>0.8645833333333334</v>
      </c>
      <c r="I197" s="234"/>
      <c r="J197" s="234"/>
      <c r="K197" s="234"/>
      <c r="L197" s="234"/>
      <c r="M197" s="234"/>
      <c r="N197" s="234"/>
      <c r="O197" s="239">
        <f>SUM(O190:O196)</f>
        <v>169.22265097403846</v>
      </c>
      <c r="P197" s="239">
        <f>SUM(P190:P196)</f>
        <v>5.937364734591888</v>
      </c>
      <c r="Q197" s="239">
        <f>SUM(Q190:Q196)</f>
        <v>2.961199672853754</v>
      </c>
      <c r="R197" s="239">
        <f>SUM(R190:R196)</f>
        <v>1.9807981359430578</v>
      </c>
      <c r="S197" s="236"/>
      <c r="T197" s="236"/>
      <c r="U197" s="240"/>
      <c r="V197" s="240"/>
    </row>
    <row r="198" spans="1:22" ht="12.75" customHeight="1">
      <c r="A198" s="228" t="s">
        <v>81</v>
      </c>
      <c r="B198" s="184"/>
      <c r="C198" s="183" t="s">
        <v>357</v>
      </c>
      <c r="D198" s="185">
        <v>36573</v>
      </c>
      <c r="E198" s="186" t="s">
        <v>82</v>
      </c>
      <c r="F198" s="187">
        <v>0.5208333333333334</v>
      </c>
      <c r="G198" s="188">
        <v>0.0125</v>
      </c>
      <c r="H198" s="188">
        <f t="shared" si="36"/>
        <v>0.5333333333333333</v>
      </c>
      <c r="I198" s="229" t="s">
        <v>324</v>
      </c>
      <c r="J198" s="229">
        <v>8</v>
      </c>
      <c r="K198" s="184">
        <v>9</v>
      </c>
      <c r="L198" s="184">
        <v>27</v>
      </c>
      <c r="M198" s="184">
        <v>4</v>
      </c>
      <c r="N198" s="184">
        <v>2.5</v>
      </c>
      <c r="O198" s="189">
        <f>K198*1625088/N198/(1024*1024)</f>
        <v>5.579296875</v>
      </c>
      <c r="P198" s="190">
        <f>O198*126.31/3600</f>
        <v>0.195755830078125</v>
      </c>
      <c r="Q198" s="190">
        <f>O198*63/3600</f>
        <v>0.0976376953125</v>
      </c>
      <c r="R198" s="190">
        <f>O198*42.139/3600</f>
        <v>0.0653072197265625</v>
      </c>
      <c r="S198" s="186" t="s">
        <v>83</v>
      </c>
      <c r="T198" s="186" t="s">
        <v>182</v>
      </c>
      <c r="U198" s="183" t="s">
        <v>254</v>
      </c>
      <c r="V198" s="183" t="s">
        <v>43</v>
      </c>
    </row>
    <row r="199" spans="1:22" ht="25.5">
      <c r="A199" s="183" t="s">
        <v>84</v>
      </c>
      <c r="B199" s="184"/>
      <c r="C199" s="183" t="s">
        <v>357</v>
      </c>
      <c r="D199" s="185">
        <v>36573</v>
      </c>
      <c r="E199" s="186" t="s">
        <v>82</v>
      </c>
      <c r="F199" s="187">
        <v>0.5625</v>
      </c>
      <c r="G199" s="188">
        <v>0.017361111111111112</v>
      </c>
      <c r="H199" s="188">
        <f t="shared" si="36"/>
        <v>0.5798611111111112</v>
      </c>
      <c r="I199" s="184"/>
      <c r="J199" s="184">
        <v>8</v>
      </c>
      <c r="K199" s="184">
        <v>16</v>
      </c>
      <c r="L199" s="184">
        <v>18</v>
      </c>
      <c r="M199" s="184">
        <v>4</v>
      </c>
      <c r="N199" s="184">
        <v>2.6</v>
      </c>
      <c r="O199" s="189">
        <f>K199*1625088/N199/(1024*1024)</f>
        <v>9.537259615384615</v>
      </c>
      <c r="P199" s="190">
        <f>O199*126.31/3600</f>
        <v>0.3346253505608974</v>
      </c>
      <c r="Q199" s="190">
        <f>O199*63/3600</f>
        <v>0.16690204326923075</v>
      </c>
      <c r="R199" s="190">
        <f>O199*42.139/3600</f>
        <v>0.11163627303685898</v>
      </c>
      <c r="S199" s="186" t="s">
        <v>83</v>
      </c>
      <c r="T199" s="186" t="s">
        <v>182</v>
      </c>
      <c r="U199" s="183" t="s">
        <v>85</v>
      </c>
      <c r="V199" s="183" t="s">
        <v>43</v>
      </c>
    </row>
    <row r="200" spans="1:22" ht="25.5">
      <c r="A200" s="193" t="s">
        <v>86</v>
      </c>
      <c r="B200" s="199"/>
      <c r="C200" s="193" t="s">
        <v>357</v>
      </c>
      <c r="D200" s="195">
        <v>36573</v>
      </c>
      <c r="E200" s="196" t="s">
        <v>82</v>
      </c>
      <c r="F200" s="197">
        <v>0.5625</v>
      </c>
      <c r="G200" s="198">
        <v>0.017361111111111112</v>
      </c>
      <c r="H200" s="198">
        <f t="shared" si="36"/>
        <v>0.5798611111111112</v>
      </c>
      <c r="I200" s="199"/>
      <c r="J200" s="199"/>
      <c r="K200" s="199">
        <v>196</v>
      </c>
      <c r="L200" s="199"/>
      <c r="M200" s="199"/>
      <c r="N200" s="199"/>
      <c r="O200" s="200">
        <f>K200*2864/2.5/1000000</f>
        <v>0.2245376</v>
      </c>
      <c r="P200" s="201">
        <f>O200*126.31/3600</f>
        <v>0.007878151182222223</v>
      </c>
      <c r="Q200" s="201">
        <f>O200*63/3600</f>
        <v>0.0039294080000000006</v>
      </c>
      <c r="R200" s="201">
        <f>O200*42.139/3600</f>
        <v>0.002628274979555556</v>
      </c>
      <c r="S200" s="196" t="s">
        <v>83</v>
      </c>
      <c r="T200" s="196" t="s">
        <v>182</v>
      </c>
      <c r="U200" s="193" t="s">
        <v>87</v>
      </c>
      <c r="V200" s="193" t="s">
        <v>43</v>
      </c>
    </row>
    <row r="201" spans="1:22" ht="12.75" customHeight="1">
      <c r="A201" s="228" t="s">
        <v>88</v>
      </c>
      <c r="B201" s="184"/>
      <c r="C201" s="183" t="s">
        <v>357</v>
      </c>
      <c r="D201" s="185">
        <v>36573</v>
      </c>
      <c r="E201" s="186" t="s">
        <v>82</v>
      </c>
      <c r="F201" s="188">
        <v>0.6354166666666666</v>
      </c>
      <c r="G201" s="188">
        <v>0.0125</v>
      </c>
      <c r="H201" s="188">
        <f t="shared" si="36"/>
        <v>0.6479166666666666</v>
      </c>
      <c r="I201" s="229" t="s">
        <v>294</v>
      </c>
      <c r="J201" s="229">
        <v>8</v>
      </c>
      <c r="K201" s="184">
        <v>9</v>
      </c>
      <c r="L201" s="184">
        <v>27</v>
      </c>
      <c r="M201" s="184">
        <v>4</v>
      </c>
      <c r="N201" s="184">
        <v>2.5</v>
      </c>
      <c r="O201" s="189">
        <f>2*K201*1625088/N201/(1024*1024)</f>
        <v>11.15859375</v>
      </c>
      <c r="P201" s="190">
        <f>O201*126.31/3600</f>
        <v>0.39151166015625</v>
      </c>
      <c r="Q201" s="190">
        <f>O201*63/3600</f>
        <v>0.195275390625</v>
      </c>
      <c r="R201" s="190">
        <f>O201*42.139/3600</f>
        <v>0.130614439453125</v>
      </c>
      <c r="S201" s="186" t="s">
        <v>83</v>
      </c>
      <c r="T201" s="186" t="s">
        <v>182</v>
      </c>
      <c r="U201" s="183" t="s">
        <v>254</v>
      </c>
      <c r="V201" s="183" t="s">
        <v>43</v>
      </c>
    </row>
    <row r="202" spans="1:22" ht="12.75">
      <c r="A202" s="205" t="s">
        <v>67</v>
      </c>
      <c r="B202" s="206">
        <v>43</v>
      </c>
      <c r="C202" s="207"/>
      <c r="D202" s="227">
        <v>36573</v>
      </c>
      <c r="E202" s="214" t="s">
        <v>82</v>
      </c>
      <c r="F202" s="210">
        <v>0.6493055555555556</v>
      </c>
      <c r="G202" s="210">
        <v>0.3194444444444445</v>
      </c>
      <c r="H202" s="211">
        <f t="shared" si="36"/>
        <v>0.96875</v>
      </c>
      <c r="I202" s="207"/>
      <c r="J202" s="207"/>
      <c r="K202" s="207"/>
      <c r="L202" s="207"/>
      <c r="M202" s="207"/>
      <c r="N202" s="207"/>
      <c r="O202" s="213">
        <f>SUM(O198:O201)</f>
        <v>26.499687840384613</v>
      </c>
      <c r="P202" s="213">
        <f>SUM(P198:P201)</f>
        <v>0.9297709919774946</v>
      </c>
      <c r="Q202" s="213">
        <f>SUM(Q198:Q201)</f>
        <v>0.46374453720673076</v>
      </c>
      <c r="R202" s="213">
        <f>SUM(R198:R201)</f>
        <v>0.310186207196102</v>
      </c>
      <c r="S202" s="214"/>
      <c r="T202" s="214"/>
      <c r="U202" s="217"/>
      <c r="V202" s="217"/>
    </row>
    <row r="203" spans="1:22" ht="12.75" customHeight="1">
      <c r="A203" s="228" t="s">
        <v>89</v>
      </c>
      <c r="B203" s="184"/>
      <c r="C203" s="183" t="s">
        <v>357</v>
      </c>
      <c r="D203" s="185">
        <v>36573</v>
      </c>
      <c r="E203" s="186" t="s">
        <v>82</v>
      </c>
      <c r="F203" s="188">
        <v>0.9722222222222222</v>
      </c>
      <c r="G203" s="188">
        <v>0.0125</v>
      </c>
      <c r="H203" s="188">
        <f t="shared" si="36"/>
        <v>0.9847222222222222</v>
      </c>
      <c r="I203" s="229" t="s">
        <v>324</v>
      </c>
      <c r="J203" s="229">
        <v>8</v>
      </c>
      <c r="K203" s="184">
        <v>9</v>
      </c>
      <c r="L203" s="184">
        <v>27</v>
      </c>
      <c r="M203" s="184">
        <v>4</v>
      </c>
      <c r="N203" s="184">
        <v>2.5</v>
      </c>
      <c r="O203" s="189">
        <f>K203*1625088/N203/(1024*1024)</f>
        <v>5.579296875</v>
      </c>
      <c r="P203" s="190">
        <f aca="true" t="shared" si="39" ref="P203:P208">O203*126.31/3600</f>
        <v>0.195755830078125</v>
      </c>
      <c r="Q203" s="190">
        <f aca="true" t="shared" si="40" ref="Q203:Q208">O203*63/3600</f>
        <v>0.0976376953125</v>
      </c>
      <c r="R203" s="190">
        <f aca="true" t="shared" si="41" ref="R203:R208">O203*42.139/3600</f>
        <v>0.0653072197265625</v>
      </c>
      <c r="S203" s="186" t="s">
        <v>83</v>
      </c>
      <c r="T203" s="186" t="s">
        <v>182</v>
      </c>
      <c r="U203" s="183" t="s">
        <v>254</v>
      </c>
      <c r="V203" s="183" t="s">
        <v>43</v>
      </c>
    </row>
    <row r="204" spans="1:22" ht="25.5">
      <c r="A204" s="183" t="s">
        <v>90</v>
      </c>
      <c r="B204" s="184"/>
      <c r="C204" s="183" t="s">
        <v>357</v>
      </c>
      <c r="D204" s="185">
        <v>36574</v>
      </c>
      <c r="E204" s="186" t="s">
        <v>91</v>
      </c>
      <c r="F204" s="187">
        <v>0.08333333333333333</v>
      </c>
      <c r="G204" s="188">
        <v>0.017361111111111112</v>
      </c>
      <c r="H204" s="188">
        <f t="shared" si="36"/>
        <v>0.10069444444444445</v>
      </c>
      <c r="I204" s="184"/>
      <c r="J204" s="184">
        <v>8</v>
      </c>
      <c r="K204" s="184">
        <v>16</v>
      </c>
      <c r="L204" s="184">
        <v>18</v>
      </c>
      <c r="M204" s="184">
        <v>4</v>
      </c>
      <c r="N204" s="184">
        <v>2.6</v>
      </c>
      <c r="O204" s="189">
        <f>K204*1625088/N204/(1024*1024)</f>
        <v>9.537259615384615</v>
      </c>
      <c r="P204" s="190">
        <f t="shared" si="39"/>
        <v>0.3346253505608974</v>
      </c>
      <c r="Q204" s="190">
        <f t="shared" si="40"/>
        <v>0.16690204326923075</v>
      </c>
      <c r="R204" s="190">
        <f t="shared" si="41"/>
        <v>0.11163627303685898</v>
      </c>
      <c r="S204" s="186" t="s">
        <v>83</v>
      </c>
      <c r="T204" s="186" t="s">
        <v>182</v>
      </c>
      <c r="U204" s="183" t="s">
        <v>92</v>
      </c>
      <c r="V204" s="183" t="s">
        <v>43</v>
      </c>
    </row>
    <row r="205" spans="1:22" ht="25.5">
      <c r="A205" s="193" t="s">
        <v>93</v>
      </c>
      <c r="B205" s="199"/>
      <c r="C205" s="193" t="s">
        <v>357</v>
      </c>
      <c r="D205" s="195">
        <v>36574</v>
      </c>
      <c r="E205" s="196" t="s">
        <v>91</v>
      </c>
      <c r="F205" s="197">
        <v>0.08333333333333333</v>
      </c>
      <c r="G205" s="198">
        <v>0.017361111111111112</v>
      </c>
      <c r="H205" s="198">
        <f t="shared" si="36"/>
        <v>0.10069444444444445</v>
      </c>
      <c r="I205" s="199"/>
      <c r="J205" s="199"/>
      <c r="K205" s="199">
        <v>196</v>
      </c>
      <c r="L205" s="199"/>
      <c r="M205" s="199"/>
      <c r="N205" s="199"/>
      <c r="O205" s="200">
        <f>K205*2864/2.5/1000000</f>
        <v>0.2245376</v>
      </c>
      <c r="P205" s="201">
        <f t="shared" si="39"/>
        <v>0.007878151182222223</v>
      </c>
      <c r="Q205" s="201">
        <f t="shared" si="40"/>
        <v>0.0039294080000000006</v>
      </c>
      <c r="R205" s="201">
        <f t="shared" si="41"/>
        <v>0.002628274979555556</v>
      </c>
      <c r="S205" s="196" t="s">
        <v>83</v>
      </c>
      <c r="T205" s="196" t="s">
        <v>182</v>
      </c>
      <c r="U205" s="193" t="s">
        <v>94</v>
      </c>
      <c r="V205" s="193" t="s">
        <v>43</v>
      </c>
    </row>
    <row r="206" spans="1:22" ht="12.75" customHeight="1">
      <c r="A206" s="228" t="s">
        <v>95</v>
      </c>
      <c r="B206" s="184"/>
      <c r="C206" s="183" t="s">
        <v>357</v>
      </c>
      <c r="D206" s="185">
        <v>36574</v>
      </c>
      <c r="E206" s="186" t="s">
        <v>91</v>
      </c>
      <c r="F206" s="188">
        <v>0.2916666666666667</v>
      </c>
      <c r="G206" s="188">
        <v>0.0125</v>
      </c>
      <c r="H206" s="188">
        <f t="shared" si="36"/>
        <v>0.3041666666666667</v>
      </c>
      <c r="I206" s="229" t="s">
        <v>324</v>
      </c>
      <c r="J206" s="229">
        <v>8</v>
      </c>
      <c r="K206" s="184">
        <v>9</v>
      </c>
      <c r="L206" s="184">
        <v>27</v>
      </c>
      <c r="M206" s="184">
        <v>4</v>
      </c>
      <c r="N206" s="184">
        <v>2.5</v>
      </c>
      <c r="O206" s="189">
        <f>K206*1625088/N206/(1024*1024)</f>
        <v>5.579296875</v>
      </c>
      <c r="P206" s="190">
        <f t="shared" si="39"/>
        <v>0.195755830078125</v>
      </c>
      <c r="Q206" s="190">
        <f t="shared" si="40"/>
        <v>0.0976376953125</v>
      </c>
      <c r="R206" s="190">
        <f t="shared" si="41"/>
        <v>0.0653072197265625</v>
      </c>
      <c r="S206" s="186" t="s">
        <v>83</v>
      </c>
      <c r="T206" s="186" t="s">
        <v>182</v>
      </c>
      <c r="U206" s="183" t="s">
        <v>254</v>
      </c>
      <c r="V206" s="183" t="s">
        <v>43</v>
      </c>
    </row>
    <row r="207" spans="1:22" ht="12.75" customHeight="1">
      <c r="A207" s="228" t="s">
        <v>96</v>
      </c>
      <c r="B207" s="184"/>
      <c r="C207" s="183" t="s">
        <v>357</v>
      </c>
      <c r="D207" s="185">
        <v>36574</v>
      </c>
      <c r="E207" s="186" t="s">
        <v>91</v>
      </c>
      <c r="F207" s="188">
        <v>0.5</v>
      </c>
      <c r="G207" s="188">
        <v>0.0125</v>
      </c>
      <c r="H207" s="188">
        <f t="shared" si="36"/>
        <v>0.5125</v>
      </c>
      <c r="I207" s="229" t="s">
        <v>324</v>
      </c>
      <c r="J207" s="229">
        <v>8</v>
      </c>
      <c r="K207" s="184">
        <v>9</v>
      </c>
      <c r="L207" s="184">
        <v>27</v>
      </c>
      <c r="M207" s="184">
        <v>4</v>
      </c>
      <c r="N207" s="184">
        <v>2.5</v>
      </c>
      <c r="O207" s="189">
        <f>K207*1625088/N207/(1024*1024)</f>
        <v>5.579296875</v>
      </c>
      <c r="P207" s="190">
        <f t="shared" si="39"/>
        <v>0.195755830078125</v>
      </c>
      <c r="Q207" s="190">
        <f t="shared" si="40"/>
        <v>0.0976376953125</v>
      </c>
      <c r="R207" s="190">
        <f t="shared" si="41"/>
        <v>0.0653072197265625</v>
      </c>
      <c r="S207" s="186" t="s">
        <v>83</v>
      </c>
      <c r="T207" s="186" t="s">
        <v>182</v>
      </c>
      <c r="U207" s="183" t="s">
        <v>254</v>
      </c>
      <c r="V207" s="183" t="s">
        <v>43</v>
      </c>
    </row>
    <row r="208" spans="1:22" ht="12.75" customHeight="1">
      <c r="A208" s="228" t="s">
        <v>97</v>
      </c>
      <c r="B208" s="184"/>
      <c r="C208" s="183" t="s">
        <v>357</v>
      </c>
      <c r="D208" s="185">
        <v>36574</v>
      </c>
      <c r="E208" s="186" t="s">
        <v>91</v>
      </c>
      <c r="F208" s="188">
        <v>0.6145833333333334</v>
      </c>
      <c r="G208" s="188">
        <v>0.0125</v>
      </c>
      <c r="H208" s="188">
        <f t="shared" si="36"/>
        <v>0.6270833333333333</v>
      </c>
      <c r="I208" s="229" t="s">
        <v>324</v>
      </c>
      <c r="J208" s="229">
        <v>8</v>
      </c>
      <c r="K208" s="184">
        <v>9</v>
      </c>
      <c r="L208" s="184">
        <v>27</v>
      </c>
      <c r="M208" s="184">
        <v>4</v>
      </c>
      <c r="N208" s="184">
        <v>2.5</v>
      </c>
      <c r="O208" s="189">
        <f>K208*1625088/N208/(1024*1024)</f>
        <v>5.579296875</v>
      </c>
      <c r="P208" s="190">
        <f t="shared" si="39"/>
        <v>0.195755830078125</v>
      </c>
      <c r="Q208" s="190">
        <f t="shared" si="40"/>
        <v>0.0976376953125</v>
      </c>
      <c r="R208" s="190">
        <f t="shared" si="41"/>
        <v>0.0653072197265625</v>
      </c>
      <c r="S208" s="186" t="s">
        <v>83</v>
      </c>
      <c r="T208" s="186" t="s">
        <v>182</v>
      </c>
      <c r="U208" s="183" t="s">
        <v>254</v>
      </c>
      <c r="V208" s="183" t="s">
        <v>43</v>
      </c>
    </row>
    <row r="209" spans="1:22" ht="12.75">
      <c r="A209" s="174" t="s">
        <v>261</v>
      </c>
      <c r="B209" s="175">
        <v>45</v>
      </c>
      <c r="C209" s="176"/>
      <c r="D209" s="177">
        <v>36574</v>
      </c>
      <c r="E209" s="178" t="s">
        <v>91</v>
      </c>
      <c r="F209" s="179">
        <v>0.6284722222222222</v>
      </c>
      <c r="G209" s="179">
        <v>0.21180555555555555</v>
      </c>
      <c r="H209" s="180">
        <f t="shared" si="36"/>
        <v>0.8402777777777778</v>
      </c>
      <c r="I209" s="176"/>
      <c r="J209" s="176"/>
      <c r="K209" s="176"/>
      <c r="L209" s="176"/>
      <c r="M209" s="176"/>
      <c r="N209" s="176"/>
      <c r="O209" s="181">
        <f>SUM(O203:O208)</f>
        <v>32.078984715384614</v>
      </c>
      <c r="P209" s="181">
        <f>SUM(P203:P208)</f>
        <v>1.1255268220556196</v>
      </c>
      <c r="Q209" s="181">
        <f>SUM(Q203:Q208)</f>
        <v>0.5613822325192308</v>
      </c>
      <c r="R209" s="181">
        <f>SUM(R203:R208)</f>
        <v>0.3754934269226645</v>
      </c>
      <c r="S209" s="178"/>
      <c r="T209" s="178"/>
      <c r="U209" s="182"/>
      <c r="V209" s="182"/>
    </row>
    <row r="210" spans="1:22" ht="12.75" customHeight="1">
      <c r="A210" s="228" t="s">
        <v>98</v>
      </c>
      <c r="B210" s="184"/>
      <c r="C210" s="183" t="s">
        <v>357</v>
      </c>
      <c r="D210" s="185">
        <v>36574</v>
      </c>
      <c r="E210" s="186" t="s">
        <v>91</v>
      </c>
      <c r="F210" s="188">
        <v>0.8472222222222222</v>
      </c>
      <c r="G210" s="188">
        <v>0.0125</v>
      </c>
      <c r="H210" s="188">
        <f t="shared" si="36"/>
        <v>0.8597222222222222</v>
      </c>
      <c r="I210" s="229" t="s">
        <v>324</v>
      </c>
      <c r="J210" s="229">
        <v>8</v>
      </c>
      <c r="K210" s="184">
        <v>9</v>
      </c>
      <c r="L210" s="184">
        <v>27</v>
      </c>
      <c r="M210" s="184">
        <v>4</v>
      </c>
      <c r="N210" s="184">
        <v>2.5</v>
      </c>
      <c r="O210" s="189">
        <f>K210*1625088/N210/(1024*1024)</f>
        <v>5.579296875</v>
      </c>
      <c r="P210" s="190">
        <f aca="true" t="shared" si="42" ref="P210:P215">O210*126.31/3600</f>
        <v>0.195755830078125</v>
      </c>
      <c r="Q210" s="190">
        <f>O210*63/3600</f>
        <v>0.0976376953125</v>
      </c>
      <c r="R210" s="190">
        <f aca="true" t="shared" si="43" ref="R210:R215">O210*42.139/3600</f>
        <v>0.0653072197265625</v>
      </c>
      <c r="S210" s="186" t="s">
        <v>83</v>
      </c>
      <c r="T210" s="186" t="s">
        <v>182</v>
      </c>
      <c r="U210" s="183" t="s">
        <v>254</v>
      </c>
      <c r="V210" s="183" t="s">
        <v>43</v>
      </c>
    </row>
    <row r="211" spans="1:22" ht="25.5">
      <c r="A211" s="183" t="s">
        <v>99</v>
      </c>
      <c r="B211" s="184"/>
      <c r="C211" s="183" t="s">
        <v>357</v>
      </c>
      <c r="D211" s="185">
        <v>36575</v>
      </c>
      <c r="E211" s="186" t="s">
        <v>100</v>
      </c>
      <c r="F211" s="187">
        <v>0.16666666666666666</v>
      </c>
      <c r="G211" s="188">
        <v>0.017361111111111112</v>
      </c>
      <c r="H211" s="188">
        <f t="shared" si="36"/>
        <v>0.18402777777777776</v>
      </c>
      <c r="I211" s="184"/>
      <c r="J211" s="184">
        <v>8</v>
      </c>
      <c r="K211" s="184">
        <v>16</v>
      </c>
      <c r="L211" s="184">
        <v>18</v>
      </c>
      <c r="M211" s="184">
        <v>4</v>
      </c>
      <c r="N211" s="184">
        <v>2.6</v>
      </c>
      <c r="O211" s="189">
        <f>K211*1625088/N211/(1024*1024)</f>
        <v>9.537259615384615</v>
      </c>
      <c r="P211" s="190">
        <f t="shared" si="42"/>
        <v>0.3346253505608974</v>
      </c>
      <c r="Q211" s="190">
        <f>O211*63/3600</f>
        <v>0.16690204326923075</v>
      </c>
      <c r="R211" s="190">
        <f t="shared" si="43"/>
        <v>0.11163627303685898</v>
      </c>
      <c r="S211" s="186" t="s">
        <v>83</v>
      </c>
      <c r="T211" s="186" t="s">
        <v>182</v>
      </c>
      <c r="U211" s="183" t="s">
        <v>101</v>
      </c>
      <c r="V211" s="183" t="s">
        <v>43</v>
      </c>
    </row>
    <row r="212" spans="1:22" ht="25.5">
      <c r="A212" s="193" t="s">
        <v>102</v>
      </c>
      <c r="B212" s="199"/>
      <c r="C212" s="193" t="s">
        <v>357</v>
      </c>
      <c r="D212" s="195">
        <v>36575</v>
      </c>
      <c r="E212" s="196" t="s">
        <v>100</v>
      </c>
      <c r="F212" s="197">
        <v>0.16666666666666666</v>
      </c>
      <c r="G212" s="198">
        <v>0.017361111111111112</v>
      </c>
      <c r="H212" s="198">
        <f t="shared" si="36"/>
        <v>0.18402777777777776</v>
      </c>
      <c r="I212" s="199"/>
      <c r="J212" s="199"/>
      <c r="K212" s="199">
        <v>196</v>
      </c>
      <c r="L212" s="199"/>
      <c r="M212" s="199"/>
      <c r="N212" s="199"/>
      <c r="O212" s="200">
        <f>K212*2864/2.5/1000000</f>
        <v>0.2245376</v>
      </c>
      <c r="P212" s="201">
        <f t="shared" si="42"/>
        <v>0.007878151182222223</v>
      </c>
      <c r="Q212" s="201">
        <f>O212*63/3600</f>
        <v>0.0039294080000000006</v>
      </c>
      <c r="R212" s="201">
        <f t="shared" si="43"/>
        <v>0.002628274979555556</v>
      </c>
      <c r="S212" s="196" t="s">
        <v>83</v>
      </c>
      <c r="T212" s="196" t="s">
        <v>182</v>
      </c>
      <c r="U212" s="193" t="s">
        <v>103</v>
      </c>
      <c r="V212" s="193" t="s">
        <v>43</v>
      </c>
    </row>
    <row r="213" spans="1:22" ht="38.25">
      <c r="A213" s="338" t="s">
        <v>104</v>
      </c>
      <c r="B213" s="337"/>
      <c r="C213" s="338" t="s">
        <v>190</v>
      </c>
      <c r="D213" s="339">
        <v>36575</v>
      </c>
      <c r="E213" s="340" t="s">
        <v>100</v>
      </c>
      <c r="F213" s="341">
        <v>0.3645833333333333</v>
      </c>
      <c r="G213" s="341">
        <v>0.25</v>
      </c>
      <c r="H213" s="342">
        <f t="shared" si="36"/>
        <v>0.6145833333333333</v>
      </c>
      <c r="I213" s="337"/>
      <c r="J213" s="337">
        <v>8</v>
      </c>
      <c r="K213" s="337">
        <v>234</v>
      </c>
      <c r="L213" s="337">
        <v>18</v>
      </c>
      <c r="M213" s="337">
        <v>4</v>
      </c>
      <c r="N213" s="337">
        <v>2.6</v>
      </c>
      <c r="O213" s="344">
        <f>K213*1625088/N213/(1024*1024)</f>
        <v>139.482421875</v>
      </c>
      <c r="P213" s="345">
        <f t="shared" si="42"/>
        <v>4.893895751953125</v>
      </c>
      <c r="Q213" s="345">
        <f>O213*63/3600</f>
        <v>2.4409423828125</v>
      </c>
      <c r="R213" s="345">
        <f t="shared" si="43"/>
        <v>1.6326804931640626</v>
      </c>
      <c r="S213" s="340" t="s">
        <v>83</v>
      </c>
      <c r="T213" s="340" t="s">
        <v>182</v>
      </c>
      <c r="U213" s="338" t="s">
        <v>105</v>
      </c>
      <c r="V213" s="338" t="s">
        <v>43</v>
      </c>
    </row>
    <row r="214" spans="1:22" ht="12.75" customHeight="1">
      <c r="A214" s="336"/>
      <c r="B214" s="346"/>
      <c r="C214" s="338"/>
      <c r="D214" s="339"/>
      <c r="E214" s="340"/>
      <c r="F214" s="341"/>
      <c r="G214" s="342"/>
      <c r="H214" s="342"/>
      <c r="I214" s="343"/>
      <c r="J214" s="343">
        <v>8</v>
      </c>
      <c r="K214" s="337">
        <v>234</v>
      </c>
      <c r="L214" s="337">
        <v>14</v>
      </c>
      <c r="M214" s="337">
        <v>4</v>
      </c>
      <c r="N214" s="337">
        <v>2.6</v>
      </c>
      <c r="O214" s="344">
        <f>K214*1625088/N214/(1024*1024)</f>
        <v>139.482421875</v>
      </c>
      <c r="P214" s="345">
        <f t="shared" si="42"/>
        <v>4.893895751953125</v>
      </c>
      <c r="Q214" s="345">
        <f>O214*63/3600</f>
        <v>2.4409423828125</v>
      </c>
      <c r="R214" s="345">
        <f t="shared" si="43"/>
        <v>1.6326804931640626</v>
      </c>
      <c r="S214" s="340" t="s">
        <v>83</v>
      </c>
      <c r="T214" s="340" t="s">
        <v>182</v>
      </c>
      <c r="U214" s="338" t="s">
        <v>106</v>
      </c>
      <c r="V214" s="338" t="s">
        <v>43</v>
      </c>
    </row>
    <row r="215" spans="1:22" ht="25.5">
      <c r="A215" s="193" t="s">
        <v>107</v>
      </c>
      <c r="B215" s="199"/>
      <c r="C215" s="193" t="s">
        <v>190</v>
      </c>
      <c r="D215" s="195">
        <v>36575</v>
      </c>
      <c r="E215" s="196" t="s">
        <v>100</v>
      </c>
      <c r="F215" s="197">
        <v>0.3645833333333333</v>
      </c>
      <c r="G215" s="197">
        <v>0.25</v>
      </c>
      <c r="H215" s="198">
        <f aca="true" t="shared" si="44" ref="H215:H266">SUM(F215:G215)</f>
        <v>0.6145833333333333</v>
      </c>
      <c r="I215" s="199"/>
      <c r="J215" s="199"/>
      <c r="K215" s="199">
        <v>2808</v>
      </c>
      <c r="L215" s="199"/>
      <c r="M215" s="199"/>
      <c r="N215" s="199"/>
      <c r="O215" s="200">
        <f>K215*2864/2.5/1000000</f>
        <v>3.2168447999999996</v>
      </c>
      <c r="P215" s="201">
        <f t="shared" si="42"/>
        <v>0.11286657407999999</v>
      </c>
      <c r="Q215" s="201">
        <f>O215*1000/17.6/3600</f>
        <v>0.050770909090909075</v>
      </c>
      <c r="R215" s="201">
        <f t="shared" si="43"/>
        <v>0.037654061951999995</v>
      </c>
      <c r="S215" s="196" t="s">
        <v>83</v>
      </c>
      <c r="T215" s="196" t="s">
        <v>182</v>
      </c>
      <c r="U215" s="193" t="s">
        <v>118</v>
      </c>
      <c r="V215" s="193" t="s">
        <v>43</v>
      </c>
    </row>
    <row r="216" spans="1:22" ht="12.75">
      <c r="A216" s="205" t="s">
        <v>67</v>
      </c>
      <c r="B216" s="206">
        <v>43</v>
      </c>
      <c r="C216" s="207"/>
      <c r="D216" s="227">
        <v>36575</v>
      </c>
      <c r="E216" s="214" t="s">
        <v>100</v>
      </c>
      <c r="F216" s="210">
        <v>0.6284722222222222</v>
      </c>
      <c r="G216" s="210">
        <v>0.2465277777777778</v>
      </c>
      <c r="H216" s="211">
        <f t="shared" si="44"/>
        <v>0.875</v>
      </c>
      <c r="I216" s="207"/>
      <c r="J216" s="207"/>
      <c r="K216" s="207"/>
      <c r="L216" s="207"/>
      <c r="M216" s="207"/>
      <c r="N216" s="207"/>
      <c r="O216" s="213">
        <f>SUM(O210:O215)</f>
        <v>297.5227826403846</v>
      </c>
      <c r="P216" s="213">
        <f>SUM(P210:P215)</f>
        <v>10.438917409807495</v>
      </c>
      <c r="Q216" s="213">
        <f>SUM(Q210:Q215)</f>
        <v>5.20112482129764</v>
      </c>
      <c r="R216" s="213">
        <f>SUM(R210:R215)</f>
        <v>3.482586816023102</v>
      </c>
      <c r="S216" s="214"/>
      <c r="T216" s="214"/>
      <c r="U216" s="217"/>
      <c r="V216" s="217"/>
    </row>
    <row r="217" spans="1:22" ht="12.75" customHeight="1">
      <c r="A217" s="228" t="s">
        <v>119</v>
      </c>
      <c r="B217" s="184"/>
      <c r="C217" s="183" t="s">
        <v>357</v>
      </c>
      <c r="D217" s="185">
        <v>36575</v>
      </c>
      <c r="E217" s="186" t="s">
        <v>100</v>
      </c>
      <c r="F217" s="188">
        <v>0.8784722222222222</v>
      </c>
      <c r="G217" s="188">
        <v>0.0125</v>
      </c>
      <c r="H217" s="188">
        <f t="shared" si="44"/>
        <v>0.8909722222222222</v>
      </c>
      <c r="I217" s="229" t="s">
        <v>324</v>
      </c>
      <c r="J217" s="229">
        <v>8</v>
      </c>
      <c r="K217" s="184">
        <v>9</v>
      </c>
      <c r="L217" s="184">
        <v>27</v>
      </c>
      <c r="M217" s="184">
        <v>4</v>
      </c>
      <c r="N217" s="184">
        <v>2.5</v>
      </c>
      <c r="O217" s="189">
        <f>K217*1625088/N217/(1024*1024)</f>
        <v>5.579296875</v>
      </c>
      <c r="P217" s="190">
        <f aca="true" t="shared" si="45" ref="P217:P222">O217*126.31/3600</f>
        <v>0.195755830078125</v>
      </c>
      <c r="Q217" s="190">
        <f aca="true" t="shared" si="46" ref="Q217:Q222">O217*63/3600</f>
        <v>0.0976376953125</v>
      </c>
      <c r="R217" s="190">
        <f aca="true" t="shared" si="47" ref="R217:R222">O217*42.139/3600</f>
        <v>0.0653072197265625</v>
      </c>
      <c r="S217" s="186" t="s">
        <v>83</v>
      </c>
      <c r="T217" s="186" t="s">
        <v>182</v>
      </c>
      <c r="U217" s="183" t="s">
        <v>254</v>
      </c>
      <c r="V217" s="183" t="s">
        <v>43</v>
      </c>
    </row>
    <row r="218" spans="1:22" ht="12.75" customHeight="1">
      <c r="A218" s="228" t="s">
        <v>120</v>
      </c>
      <c r="B218" s="184"/>
      <c r="C218" s="183" t="s">
        <v>357</v>
      </c>
      <c r="D218" s="185">
        <v>36576</v>
      </c>
      <c r="E218" s="186" t="s">
        <v>121</v>
      </c>
      <c r="F218" s="188">
        <v>0.20833333333333334</v>
      </c>
      <c r="G218" s="188">
        <v>0.0125</v>
      </c>
      <c r="H218" s="188">
        <f t="shared" si="44"/>
        <v>0.22083333333333335</v>
      </c>
      <c r="I218" s="229" t="s">
        <v>324</v>
      </c>
      <c r="J218" s="229">
        <v>8</v>
      </c>
      <c r="K218" s="184">
        <v>9</v>
      </c>
      <c r="L218" s="184">
        <v>27</v>
      </c>
      <c r="M218" s="184">
        <v>4</v>
      </c>
      <c r="N218" s="184">
        <v>2.5</v>
      </c>
      <c r="O218" s="189">
        <f>K218*1625088/N218/(1024*1024)</f>
        <v>5.579296875</v>
      </c>
      <c r="P218" s="190">
        <f t="shared" si="45"/>
        <v>0.195755830078125</v>
      </c>
      <c r="Q218" s="190">
        <f t="shared" si="46"/>
        <v>0.0976376953125</v>
      </c>
      <c r="R218" s="190">
        <f t="shared" si="47"/>
        <v>0.0653072197265625</v>
      </c>
      <c r="S218" s="186" t="s">
        <v>83</v>
      </c>
      <c r="T218" s="186" t="s">
        <v>182</v>
      </c>
      <c r="U218" s="183" t="s">
        <v>254</v>
      </c>
      <c r="V218" s="183" t="s">
        <v>43</v>
      </c>
    </row>
    <row r="219" spans="1:22" ht="12.75" customHeight="1">
      <c r="A219" s="228" t="s">
        <v>122</v>
      </c>
      <c r="B219" s="184"/>
      <c r="C219" s="183" t="s">
        <v>357</v>
      </c>
      <c r="D219" s="185">
        <v>36576</v>
      </c>
      <c r="E219" s="186" t="s">
        <v>121</v>
      </c>
      <c r="F219" s="188">
        <v>0.375</v>
      </c>
      <c r="G219" s="188">
        <v>0.0125</v>
      </c>
      <c r="H219" s="188">
        <f t="shared" si="44"/>
        <v>0.3875</v>
      </c>
      <c r="I219" s="229" t="s">
        <v>324</v>
      </c>
      <c r="J219" s="229">
        <v>8</v>
      </c>
      <c r="K219" s="184">
        <v>9</v>
      </c>
      <c r="L219" s="184">
        <v>27</v>
      </c>
      <c r="M219" s="184">
        <v>4</v>
      </c>
      <c r="N219" s="184">
        <v>2.5</v>
      </c>
      <c r="O219" s="189">
        <f>K219*1625088/N219/(1024*1024)</f>
        <v>5.579296875</v>
      </c>
      <c r="P219" s="190">
        <f t="shared" si="45"/>
        <v>0.195755830078125</v>
      </c>
      <c r="Q219" s="190">
        <f t="shared" si="46"/>
        <v>0.0976376953125</v>
      </c>
      <c r="R219" s="190">
        <f t="shared" si="47"/>
        <v>0.0653072197265625</v>
      </c>
      <c r="S219" s="186" t="s">
        <v>83</v>
      </c>
      <c r="T219" s="186" t="s">
        <v>182</v>
      </c>
      <c r="U219" s="183" t="s">
        <v>254</v>
      </c>
      <c r="V219" s="183" t="s">
        <v>43</v>
      </c>
    </row>
    <row r="220" spans="1:22" ht="25.5">
      <c r="A220" s="183" t="s">
        <v>123</v>
      </c>
      <c r="B220" s="184"/>
      <c r="C220" s="183" t="s">
        <v>357</v>
      </c>
      <c r="D220" s="185">
        <v>36576</v>
      </c>
      <c r="E220" s="186" t="s">
        <v>121</v>
      </c>
      <c r="F220" s="187">
        <v>0.5416666666666666</v>
      </c>
      <c r="G220" s="188">
        <v>0.017361111111111112</v>
      </c>
      <c r="H220" s="188">
        <f t="shared" si="44"/>
        <v>0.5590277777777778</v>
      </c>
      <c r="I220" s="184"/>
      <c r="J220" s="184">
        <v>8</v>
      </c>
      <c r="K220" s="184">
        <v>16</v>
      </c>
      <c r="L220" s="184">
        <v>18</v>
      </c>
      <c r="M220" s="184">
        <v>4</v>
      </c>
      <c r="N220" s="184">
        <v>2.6</v>
      </c>
      <c r="O220" s="189">
        <f>K220*1625088/N220/(1024*1024)</f>
        <v>9.537259615384615</v>
      </c>
      <c r="P220" s="190">
        <f t="shared" si="45"/>
        <v>0.3346253505608974</v>
      </c>
      <c r="Q220" s="190">
        <f t="shared" si="46"/>
        <v>0.16690204326923075</v>
      </c>
      <c r="R220" s="190">
        <f t="shared" si="47"/>
        <v>0.11163627303685898</v>
      </c>
      <c r="S220" s="186" t="s">
        <v>83</v>
      </c>
      <c r="T220" s="186" t="s">
        <v>182</v>
      </c>
      <c r="U220" s="183" t="s">
        <v>124</v>
      </c>
      <c r="V220" s="183" t="s">
        <v>43</v>
      </c>
    </row>
    <row r="221" spans="1:22" ht="25.5">
      <c r="A221" s="193" t="s">
        <v>125</v>
      </c>
      <c r="B221" s="199"/>
      <c r="C221" s="193" t="s">
        <v>357</v>
      </c>
      <c r="D221" s="195">
        <v>36576</v>
      </c>
      <c r="E221" s="196" t="s">
        <v>121</v>
      </c>
      <c r="F221" s="197">
        <v>0.5416666666666666</v>
      </c>
      <c r="G221" s="198">
        <v>0.017361111111111112</v>
      </c>
      <c r="H221" s="198">
        <f t="shared" si="44"/>
        <v>0.5590277777777778</v>
      </c>
      <c r="I221" s="199"/>
      <c r="J221" s="199"/>
      <c r="K221" s="199">
        <v>196</v>
      </c>
      <c r="L221" s="199"/>
      <c r="M221" s="199"/>
      <c r="N221" s="199"/>
      <c r="O221" s="200">
        <f>K221*2864/2.5/1000000</f>
        <v>0.2245376</v>
      </c>
      <c r="P221" s="201">
        <f t="shared" si="45"/>
        <v>0.007878151182222223</v>
      </c>
      <c r="Q221" s="201">
        <f t="shared" si="46"/>
        <v>0.0039294080000000006</v>
      </c>
      <c r="R221" s="201">
        <f t="shared" si="47"/>
        <v>0.002628274979555556</v>
      </c>
      <c r="S221" s="196" t="s">
        <v>83</v>
      </c>
      <c r="T221" s="196" t="s">
        <v>182</v>
      </c>
      <c r="U221" s="193" t="s">
        <v>126</v>
      </c>
      <c r="V221" s="193" t="s">
        <v>43</v>
      </c>
    </row>
    <row r="222" spans="1:22" ht="12.75" customHeight="1">
      <c r="A222" s="228" t="s">
        <v>127</v>
      </c>
      <c r="B222" s="184"/>
      <c r="C222" s="183" t="s">
        <v>357</v>
      </c>
      <c r="D222" s="185">
        <v>36576</v>
      </c>
      <c r="E222" s="186" t="s">
        <v>121</v>
      </c>
      <c r="F222" s="188">
        <v>0.6041666666666666</v>
      </c>
      <c r="G222" s="188">
        <v>0.0125</v>
      </c>
      <c r="H222" s="188">
        <f t="shared" si="44"/>
        <v>0.6166666666666666</v>
      </c>
      <c r="I222" s="229" t="s">
        <v>324</v>
      </c>
      <c r="J222" s="229">
        <v>8</v>
      </c>
      <c r="K222" s="184">
        <v>9</v>
      </c>
      <c r="L222" s="184">
        <v>27</v>
      </c>
      <c r="M222" s="184">
        <v>4</v>
      </c>
      <c r="N222" s="184">
        <v>2.5</v>
      </c>
      <c r="O222" s="189">
        <f>K222*1625088/N222/(1024*1024)</f>
        <v>5.579296875</v>
      </c>
      <c r="P222" s="190">
        <f t="shared" si="45"/>
        <v>0.195755830078125</v>
      </c>
      <c r="Q222" s="190">
        <f t="shared" si="46"/>
        <v>0.0976376953125</v>
      </c>
      <c r="R222" s="190">
        <f t="shared" si="47"/>
        <v>0.0653072197265625</v>
      </c>
      <c r="S222" s="186" t="s">
        <v>83</v>
      </c>
      <c r="T222" s="186" t="s">
        <v>182</v>
      </c>
      <c r="U222" s="183" t="s">
        <v>254</v>
      </c>
      <c r="V222" s="183" t="s">
        <v>43</v>
      </c>
    </row>
    <row r="223" spans="1:22" ht="12.75">
      <c r="A223" s="174" t="s">
        <v>261</v>
      </c>
      <c r="B223" s="175">
        <v>45</v>
      </c>
      <c r="C223" s="176"/>
      <c r="D223" s="177">
        <v>36576</v>
      </c>
      <c r="E223" s="178" t="s">
        <v>121</v>
      </c>
      <c r="F223" s="179">
        <v>0.6180555555555556</v>
      </c>
      <c r="G223" s="179">
        <v>0.2152777777777778</v>
      </c>
      <c r="H223" s="180">
        <f t="shared" si="44"/>
        <v>0.8333333333333334</v>
      </c>
      <c r="I223" s="176"/>
      <c r="J223" s="176"/>
      <c r="K223" s="176"/>
      <c r="L223" s="176"/>
      <c r="M223" s="176"/>
      <c r="N223" s="176"/>
      <c r="O223" s="181">
        <f>SUM(O217:O222)</f>
        <v>32.078984715384614</v>
      </c>
      <c r="P223" s="181">
        <f>SUM(P217:P222)</f>
        <v>1.1255268220556196</v>
      </c>
      <c r="Q223" s="181">
        <f>SUM(Q217:Q222)</f>
        <v>0.5613822325192308</v>
      </c>
      <c r="R223" s="181">
        <f>SUM(R217:R222)</f>
        <v>0.3754934269226645</v>
      </c>
      <c r="S223" s="178"/>
      <c r="T223" s="178"/>
      <c r="U223" s="182"/>
      <c r="V223" s="182"/>
    </row>
    <row r="224" spans="1:22" ht="12.75" customHeight="1">
      <c r="A224" s="228" t="s">
        <v>128</v>
      </c>
      <c r="B224" s="184"/>
      <c r="C224" s="183" t="s">
        <v>357</v>
      </c>
      <c r="D224" s="185">
        <v>36576</v>
      </c>
      <c r="E224" s="186" t="s">
        <v>121</v>
      </c>
      <c r="F224" s="188">
        <v>0.8368055555555555</v>
      </c>
      <c r="G224" s="188">
        <v>0.0125</v>
      </c>
      <c r="H224" s="188">
        <f t="shared" si="44"/>
        <v>0.8493055555555554</v>
      </c>
      <c r="I224" s="229" t="s">
        <v>324</v>
      </c>
      <c r="J224" s="229">
        <v>8</v>
      </c>
      <c r="K224" s="184">
        <v>9</v>
      </c>
      <c r="L224" s="184">
        <v>27</v>
      </c>
      <c r="M224" s="184">
        <v>4</v>
      </c>
      <c r="N224" s="184">
        <v>2.5</v>
      </c>
      <c r="O224" s="189">
        <f>K224*1625088/N224/(1024*1024)</f>
        <v>5.579296875</v>
      </c>
      <c r="P224" s="190">
        <f aca="true" t="shared" si="48" ref="P224:P231">O224*126.31/3600</f>
        <v>0.195755830078125</v>
      </c>
      <c r="Q224" s="190">
        <f>O224*63/3600</f>
        <v>0.0976376953125</v>
      </c>
      <c r="R224" s="190">
        <f aca="true" t="shared" si="49" ref="R224:R231">O224*42.139/3600</f>
        <v>0.0653072197265625</v>
      </c>
      <c r="S224" s="186" t="s">
        <v>83</v>
      </c>
      <c r="T224" s="186" t="s">
        <v>182</v>
      </c>
      <c r="U224" s="183" t="s">
        <v>254</v>
      </c>
      <c r="V224" s="183" t="s">
        <v>43</v>
      </c>
    </row>
    <row r="225" spans="1:22" ht="12.75" customHeight="1">
      <c r="A225" s="228" t="s">
        <v>129</v>
      </c>
      <c r="B225" s="184"/>
      <c r="C225" s="183" t="s">
        <v>357</v>
      </c>
      <c r="D225" s="185">
        <v>36577</v>
      </c>
      <c r="E225" s="186" t="s">
        <v>130</v>
      </c>
      <c r="F225" s="188">
        <v>0.125</v>
      </c>
      <c r="G225" s="188">
        <v>0.0125</v>
      </c>
      <c r="H225" s="188">
        <f t="shared" si="44"/>
        <v>0.1375</v>
      </c>
      <c r="I225" s="229" t="s">
        <v>324</v>
      </c>
      <c r="J225" s="229">
        <v>8</v>
      </c>
      <c r="K225" s="184">
        <v>9</v>
      </c>
      <c r="L225" s="184">
        <v>27</v>
      </c>
      <c r="M225" s="184">
        <v>4</v>
      </c>
      <c r="N225" s="184">
        <v>2.5</v>
      </c>
      <c r="O225" s="189">
        <f>K225*1625088/N225/(1024*1024)</f>
        <v>5.579296875</v>
      </c>
      <c r="P225" s="190">
        <f t="shared" si="48"/>
        <v>0.195755830078125</v>
      </c>
      <c r="Q225" s="190">
        <f>O225*63/3600</f>
        <v>0.0976376953125</v>
      </c>
      <c r="R225" s="190">
        <f t="shared" si="49"/>
        <v>0.0653072197265625</v>
      </c>
      <c r="S225" s="186" t="s">
        <v>83</v>
      </c>
      <c r="T225" s="186" t="s">
        <v>182</v>
      </c>
      <c r="U225" s="183" t="s">
        <v>254</v>
      </c>
      <c r="V225" s="183" t="s">
        <v>43</v>
      </c>
    </row>
    <row r="226" spans="1:22" ht="38.25">
      <c r="A226" s="338" t="s">
        <v>131</v>
      </c>
      <c r="B226" s="337"/>
      <c r="C226" s="338" t="s">
        <v>190</v>
      </c>
      <c r="D226" s="339">
        <v>36577</v>
      </c>
      <c r="E226" s="340" t="s">
        <v>130</v>
      </c>
      <c r="F226" s="341">
        <v>0.1875</v>
      </c>
      <c r="G226" s="341">
        <v>0.25</v>
      </c>
      <c r="H226" s="342">
        <f t="shared" si="44"/>
        <v>0.4375</v>
      </c>
      <c r="I226" s="337"/>
      <c r="J226" s="337">
        <v>8</v>
      </c>
      <c r="K226" s="337">
        <v>234</v>
      </c>
      <c r="L226" s="337">
        <v>18</v>
      </c>
      <c r="M226" s="337">
        <v>4</v>
      </c>
      <c r="N226" s="337">
        <v>2.6</v>
      </c>
      <c r="O226" s="344">
        <f>K226*1625088/N226/(1024*1024)</f>
        <v>139.482421875</v>
      </c>
      <c r="P226" s="345">
        <f t="shared" si="48"/>
        <v>4.893895751953125</v>
      </c>
      <c r="Q226" s="345">
        <f>O226*63/3600</f>
        <v>2.4409423828125</v>
      </c>
      <c r="R226" s="345">
        <f t="shared" si="49"/>
        <v>1.6326804931640626</v>
      </c>
      <c r="S226" s="340" t="s">
        <v>83</v>
      </c>
      <c r="T226" s="340" t="s">
        <v>182</v>
      </c>
      <c r="U226" s="338" t="s">
        <v>132</v>
      </c>
      <c r="V226" s="338" t="s">
        <v>43</v>
      </c>
    </row>
    <row r="227" spans="1:22" ht="25.5">
      <c r="A227" s="193" t="s">
        <v>133</v>
      </c>
      <c r="B227" s="199"/>
      <c r="C227" s="193" t="s">
        <v>190</v>
      </c>
      <c r="D227" s="195">
        <v>36577</v>
      </c>
      <c r="E227" s="196" t="s">
        <v>130</v>
      </c>
      <c r="F227" s="197">
        <v>0.1875</v>
      </c>
      <c r="G227" s="197">
        <v>0.25</v>
      </c>
      <c r="H227" s="198">
        <f t="shared" si="44"/>
        <v>0.4375</v>
      </c>
      <c r="I227" s="199"/>
      <c r="J227" s="199"/>
      <c r="K227" s="199">
        <v>2808</v>
      </c>
      <c r="L227" s="199"/>
      <c r="M227" s="199"/>
      <c r="N227" s="199"/>
      <c r="O227" s="200">
        <f>K227*2864/2.5/1000000</f>
        <v>3.2168447999999996</v>
      </c>
      <c r="P227" s="201">
        <f t="shared" si="48"/>
        <v>0.11286657407999999</v>
      </c>
      <c r="Q227" s="201">
        <f>O227*1000/17.6/3600</f>
        <v>0.050770909090909075</v>
      </c>
      <c r="R227" s="201">
        <f t="shared" si="49"/>
        <v>0.037654061951999995</v>
      </c>
      <c r="S227" s="196" t="s">
        <v>83</v>
      </c>
      <c r="T227" s="196" t="s">
        <v>182</v>
      </c>
      <c r="U227" s="193" t="s">
        <v>134</v>
      </c>
      <c r="V227" s="193" t="s">
        <v>43</v>
      </c>
    </row>
    <row r="228" spans="1:22" ht="12.75" customHeight="1">
      <c r="A228" s="228" t="s">
        <v>135</v>
      </c>
      <c r="B228" s="184"/>
      <c r="C228" s="183" t="s">
        <v>357</v>
      </c>
      <c r="D228" s="241">
        <v>36577</v>
      </c>
      <c r="E228" s="242" t="s">
        <v>130</v>
      </c>
      <c r="F228" s="188">
        <v>0.4444444444444444</v>
      </c>
      <c r="G228" s="188">
        <v>0.0125</v>
      </c>
      <c r="H228" s="188">
        <f t="shared" si="44"/>
        <v>0.45694444444444443</v>
      </c>
      <c r="I228" s="229" t="s">
        <v>324</v>
      </c>
      <c r="J228" s="229">
        <v>8</v>
      </c>
      <c r="K228" s="184">
        <v>9</v>
      </c>
      <c r="L228" s="184">
        <v>27</v>
      </c>
      <c r="M228" s="184">
        <v>4</v>
      </c>
      <c r="N228" s="184">
        <v>2.5</v>
      </c>
      <c r="O228" s="189">
        <f>K228*1625088/N228/(1024*1024)</f>
        <v>5.579296875</v>
      </c>
      <c r="P228" s="190">
        <f t="shared" si="48"/>
        <v>0.195755830078125</v>
      </c>
      <c r="Q228" s="190">
        <f>O228*63/3600</f>
        <v>0.0976376953125</v>
      </c>
      <c r="R228" s="190">
        <f t="shared" si="49"/>
        <v>0.0653072197265625</v>
      </c>
      <c r="S228" s="186" t="s">
        <v>83</v>
      </c>
      <c r="T228" s="186" t="s">
        <v>182</v>
      </c>
      <c r="U228" s="183" t="s">
        <v>254</v>
      </c>
      <c r="V228" s="183" t="s">
        <v>43</v>
      </c>
    </row>
    <row r="229" spans="1:22" ht="25.5">
      <c r="A229" s="183" t="s">
        <v>136</v>
      </c>
      <c r="B229" s="184"/>
      <c r="C229" s="183" t="s">
        <v>357</v>
      </c>
      <c r="D229" s="185">
        <v>36577</v>
      </c>
      <c r="E229" s="186" t="s">
        <v>130</v>
      </c>
      <c r="F229" s="187">
        <v>0.5</v>
      </c>
      <c r="G229" s="188">
        <v>0.017361111111111112</v>
      </c>
      <c r="H229" s="188">
        <f t="shared" si="44"/>
        <v>0.5173611111111112</v>
      </c>
      <c r="I229" s="184"/>
      <c r="J229" s="184">
        <v>8</v>
      </c>
      <c r="K229" s="184">
        <v>16</v>
      </c>
      <c r="L229" s="184">
        <v>18</v>
      </c>
      <c r="M229" s="184">
        <v>4</v>
      </c>
      <c r="N229" s="184">
        <v>2.6</v>
      </c>
      <c r="O229" s="189">
        <f>K229*1625088/N229/(1024*1024)</f>
        <v>9.537259615384615</v>
      </c>
      <c r="P229" s="190">
        <f t="shared" si="48"/>
        <v>0.3346253505608974</v>
      </c>
      <c r="Q229" s="190">
        <f>O229*63/3600</f>
        <v>0.16690204326923075</v>
      </c>
      <c r="R229" s="190">
        <f t="shared" si="49"/>
        <v>0.11163627303685898</v>
      </c>
      <c r="S229" s="186" t="s">
        <v>83</v>
      </c>
      <c r="T229" s="186" t="s">
        <v>182</v>
      </c>
      <c r="U229" s="183" t="s">
        <v>137</v>
      </c>
      <c r="V229" s="183" t="s">
        <v>43</v>
      </c>
    </row>
    <row r="230" spans="1:22" ht="25.5">
      <c r="A230" s="193" t="s">
        <v>138</v>
      </c>
      <c r="B230" s="199"/>
      <c r="C230" s="193" t="s">
        <v>357</v>
      </c>
      <c r="D230" s="195">
        <v>36577</v>
      </c>
      <c r="E230" s="196" t="s">
        <v>130</v>
      </c>
      <c r="F230" s="197">
        <v>0.5</v>
      </c>
      <c r="G230" s="198">
        <v>0.017361111111111112</v>
      </c>
      <c r="H230" s="198">
        <f t="shared" si="44"/>
        <v>0.5173611111111112</v>
      </c>
      <c r="I230" s="199"/>
      <c r="J230" s="199"/>
      <c r="K230" s="199">
        <v>196</v>
      </c>
      <c r="L230" s="199"/>
      <c r="M230" s="199"/>
      <c r="N230" s="199"/>
      <c r="O230" s="200">
        <f>K230*2864/2.5/1000000</f>
        <v>0.2245376</v>
      </c>
      <c r="P230" s="201">
        <f t="shared" si="48"/>
        <v>0.007878151182222223</v>
      </c>
      <c r="Q230" s="201">
        <f>O230*63/3600</f>
        <v>0.0039294080000000006</v>
      </c>
      <c r="R230" s="201">
        <f t="shared" si="49"/>
        <v>0.002628274979555556</v>
      </c>
      <c r="S230" s="196" t="s">
        <v>83</v>
      </c>
      <c r="T230" s="196" t="s">
        <v>182</v>
      </c>
      <c r="U230" s="193" t="s">
        <v>139</v>
      </c>
      <c r="V230" s="193" t="s">
        <v>43</v>
      </c>
    </row>
    <row r="231" spans="1:22" ht="12.75" customHeight="1">
      <c r="A231" s="243" t="s">
        <v>147</v>
      </c>
      <c r="B231" s="184"/>
      <c r="C231" s="244" t="s">
        <v>357</v>
      </c>
      <c r="D231" s="245">
        <v>36577</v>
      </c>
      <c r="E231" s="246" t="s">
        <v>130</v>
      </c>
      <c r="F231" s="247">
        <v>0.71875</v>
      </c>
      <c r="G231" s="247">
        <v>0.0125</v>
      </c>
      <c r="H231" s="247">
        <f t="shared" si="44"/>
        <v>0.73125</v>
      </c>
      <c r="I231" s="248" t="s">
        <v>324</v>
      </c>
      <c r="J231" s="248">
        <v>8</v>
      </c>
      <c r="K231" s="249">
        <v>9</v>
      </c>
      <c r="L231" s="249">
        <v>27</v>
      </c>
      <c r="M231" s="249">
        <v>4</v>
      </c>
      <c r="N231" s="184">
        <v>2.5</v>
      </c>
      <c r="O231" s="250">
        <f>K231*1625088/N231/(1024*1024)</f>
        <v>5.579296875</v>
      </c>
      <c r="P231" s="251">
        <f t="shared" si="48"/>
        <v>0.195755830078125</v>
      </c>
      <c r="Q231" s="251">
        <f>O231*63/3600</f>
        <v>0.0976376953125</v>
      </c>
      <c r="R231" s="251">
        <f t="shared" si="49"/>
        <v>0.0653072197265625</v>
      </c>
      <c r="S231" s="186" t="s">
        <v>83</v>
      </c>
      <c r="T231" s="252" t="s">
        <v>182</v>
      </c>
      <c r="U231" s="244" t="s">
        <v>254</v>
      </c>
      <c r="V231" s="244" t="s">
        <v>43</v>
      </c>
    </row>
    <row r="232" spans="1:22" ht="13.5" thickBot="1">
      <c r="A232" s="232" t="s">
        <v>67</v>
      </c>
      <c r="B232" s="253">
        <v>43</v>
      </c>
      <c r="C232" s="234"/>
      <c r="D232" s="254">
        <v>36577</v>
      </c>
      <c r="E232" s="255" t="s">
        <v>130</v>
      </c>
      <c r="F232" s="256">
        <v>0.75</v>
      </c>
      <c r="G232" s="256">
        <v>0.25</v>
      </c>
      <c r="H232" s="257">
        <f t="shared" si="44"/>
        <v>1</v>
      </c>
      <c r="I232" s="258"/>
      <c r="J232" s="258"/>
      <c r="K232" s="258"/>
      <c r="L232" s="258"/>
      <c r="M232" s="258"/>
      <c r="N232" s="258"/>
      <c r="O232" s="259">
        <f>SUM(O224:O231)</f>
        <v>174.7782513903846</v>
      </c>
      <c r="P232" s="259">
        <f>SUM(P224:P231)</f>
        <v>6.132289148088744</v>
      </c>
      <c r="Q232" s="259">
        <f>SUM(Q224:Q231)</f>
        <v>3.0530955244226394</v>
      </c>
      <c r="R232" s="259">
        <f>SUM(R224:R231)</f>
        <v>2.0458279820387273</v>
      </c>
      <c r="S232" s="255"/>
      <c r="T232" s="255"/>
      <c r="U232" s="260"/>
      <c r="V232" s="260"/>
    </row>
    <row r="233" spans="1:22" ht="25.5">
      <c r="A233" s="261" t="s">
        <v>148</v>
      </c>
      <c r="B233" s="184"/>
      <c r="C233" s="262" t="s">
        <v>357</v>
      </c>
      <c r="D233" s="263">
        <v>36578</v>
      </c>
      <c r="E233" s="264" t="s">
        <v>149</v>
      </c>
      <c r="F233" s="265">
        <v>0.003472222222222222</v>
      </c>
      <c r="G233" s="265">
        <v>0.011805555555555555</v>
      </c>
      <c r="H233" s="265">
        <f t="shared" si="44"/>
        <v>0.015277777777777777</v>
      </c>
      <c r="I233" s="266" t="s">
        <v>324</v>
      </c>
      <c r="J233" s="266">
        <v>8</v>
      </c>
      <c r="K233" s="267">
        <v>6</v>
      </c>
      <c r="L233" s="267">
        <v>27</v>
      </c>
      <c r="M233" s="267">
        <v>4</v>
      </c>
      <c r="N233" s="184">
        <v>2.5</v>
      </c>
      <c r="O233" s="268">
        <f>K233*1625088/N233/(1024*1024)</f>
        <v>3.71953125</v>
      </c>
      <c r="P233" s="269">
        <f>O233*126.31/3600</f>
        <v>0.13050388671875002</v>
      </c>
      <c r="Q233" s="269">
        <f>O233*63/3600</f>
        <v>0.06509179687500001</v>
      </c>
      <c r="R233" s="269">
        <f>O233*42.139/3600</f>
        <v>0.043538146484375005</v>
      </c>
      <c r="S233" s="270" t="s">
        <v>150</v>
      </c>
      <c r="T233" s="270" t="s">
        <v>182</v>
      </c>
      <c r="U233" s="262" t="s">
        <v>151</v>
      </c>
      <c r="V233" s="184" t="s">
        <v>43</v>
      </c>
    </row>
    <row r="234" spans="1:22" ht="25.5">
      <c r="A234" s="228" t="s">
        <v>152</v>
      </c>
      <c r="B234" s="184"/>
      <c r="C234" s="183" t="s">
        <v>357</v>
      </c>
      <c r="D234" s="241">
        <v>36578</v>
      </c>
      <c r="E234" s="242" t="s">
        <v>149</v>
      </c>
      <c r="F234" s="188">
        <v>0.21180555555555555</v>
      </c>
      <c r="G234" s="188">
        <v>0.011805555555555555</v>
      </c>
      <c r="H234" s="188">
        <f t="shared" si="44"/>
        <v>0.2236111111111111</v>
      </c>
      <c r="I234" s="229" t="s">
        <v>324</v>
      </c>
      <c r="J234" s="229">
        <v>8</v>
      </c>
      <c r="K234" s="184">
        <v>6</v>
      </c>
      <c r="L234" s="184">
        <v>27</v>
      </c>
      <c r="M234" s="184">
        <v>4</v>
      </c>
      <c r="N234" s="184">
        <v>2.5</v>
      </c>
      <c r="O234" s="268">
        <f>K234*1625088/N234/(1024*1024)</f>
        <v>3.71953125</v>
      </c>
      <c r="P234" s="190">
        <f>O234*126.31/3600</f>
        <v>0.13050388671875002</v>
      </c>
      <c r="Q234" s="190">
        <f>O234*63/3600</f>
        <v>0.06509179687500001</v>
      </c>
      <c r="R234" s="190">
        <f>O234*42.139/3600</f>
        <v>0.043538146484375005</v>
      </c>
      <c r="S234" s="186" t="s">
        <v>150</v>
      </c>
      <c r="T234" s="186" t="s">
        <v>182</v>
      </c>
      <c r="U234" s="262" t="s">
        <v>151</v>
      </c>
      <c r="V234" s="184" t="s">
        <v>43</v>
      </c>
    </row>
    <row r="235" spans="1:22" ht="25.5">
      <c r="A235" s="228" t="s">
        <v>153</v>
      </c>
      <c r="B235" s="184"/>
      <c r="C235" s="183" t="s">
        <v>357</v>
      </c>
      <c r="D235" s="241">
        <v>36578</v>
      </c>
      <c r="E235" s="242" t="s">
        <v>149</v>
      </c>
      <c r="F235" s="188">
        <v>0.4826388888888889</v>
      </c>
      <c r="G235" s="188">
        <v>0.011805555555555555</v>
      </c>
      <c r="H235" s="188">
        <f t="shared" si="44"/>
        <v>0.49444444444444446</v>
      </c>
      <c r="I235" s="229" t="s">
        <v>294</v>
      </c>
      <c r="J235" s="229">
        <v>8</v>
      </c>
      <c r="K235" s="184">
        <v>6</v>
      </c>
      <c r="L235" s="184">
        <v>27</v>
      </c>
      <c r="M235" s="184">
        <v>4</v>
      </c>
      <c r="N235" s="184">
        <v>2.5</v>
      </c>
      <c r="O235" s="189">
        <f>2*K235*1625088/N235/(1024*1024)</f>
        <v>7.4390625</v>
      </c>
      <c r="P235" s="190">
        <f>O235*126.31/3600</f>
        <v>0.26100777343750003</v>
      </c>
      <c r="Q235" s="190">
        <f>O235*63/3600</f>
        <v>0.13018359375000002</v>
      </c>
      <c r="R235" s="190">
        <f>O235*42.139/3600</f>
        <v>0.08707629296875001</v>
      </c>
      <c r="S235" s="186" t="s">
        <v>150</v>
      </c>
      <c r="T235" s="186" t="s">
        <v>182</v>
      </c>
      <c r="U235" s="262" t="s">
        <v>151</v>
      </c>
      <c r="V235" s="184" t="s">
        <v>43</v>
      </c>
    </row>
    <row r="236" spans="1:22" ht="12.75">
      <c r="A236" s="205" t="s">
        <v>67</v>
      </c>
      <c r="B236" s="206">
        <v>14</v>
      </c>
      <c r="C236" s="207"/>
      <c r="D236" s="227">
        <v>36578</v>
      </c>
      <c r="E236" s="214" t="s">
        <v>149</v>
      </c>
      <c r="F236" s="210">
        <v>0.513888888888889</v>
      </c>
      <c r="G236" s="210">
        <v>0.125</v>
      </c>
      <c r="H236" s="211">
        <f t="shared" si="44"/>
        <v>0.638888888888889</v>
      </c>
      <c r="I236" s="207"/>
      <c r="J236" s="207"/>
      <c r="K236" s="207"/>
      <c r="L236" s="207"/>
      <c r="M236" s="207"/>
      <c r="N236" s="207"/>
      <c r="O236" s="213">
        <f>SUM(O233:O235)</f>
        <v>14.878125</v>
      </c>
      <c r="P236" s="213">
        <f>SUM(P233:P235)</f>
        <v>0.5220155468750001</v>
      </c>
      <c r="Q236" s="213">
        <f>SUM(Q233:Q235)</f>
        <v>0.26036718750000004</v>
      </c>
      <c r="R236" s="213">
        <f>SUM(R233:R235)</f>
        <v>0.17415258593750002</v>
      </c>
      <c r="S236" s="214"/>
      <c r="T236" s="214"/>
      <c r="U236" s="217"/>
      <c r="V236" s="217"/>
    </row>
    <row r="237" spans="1:22" ht="25.5">
      <c r="A237" s="228" t="s">
        <v>154</v>
      </c>
      <c r="B237" s="184"/>
      <c r="C237" s="183" t="s">
        <v>357</v>
      </c>
      <c r="D237" s="241">
        <v>36578</v>
      </c>
      <c r="E237" s="242" t="s">
        <v>149</v>
      </c>
      <c r="F237" s="188">
        <v>0.6909722222222222</v>
      </c>
      <c r="G237" s="188">
        <v>0.011805555555555555</v>
      </c>
      <c r="H237" s="188">
        <f t="shared" si="44"/>
        <v>0.7027777777777777</v>
      </c>
      <c r="I237" s="229" t="s">
        <v>294</v>
      </c>
      <c r="J237" s="229">
        <v>8</v>
      </c>
      <c r="K237" s="184">
        <v>12</v>
      </c>
      <c r="L237" s="184">
        <v>27</v>
      </c>
      <c r="M237" s="184">
        <v>4</v>
      </c>
      <c r="N237" s="184">
        <v>2.5</v>
      </c>
      <c r="O237" s="189">
        <f>2*K237*1625088/N237/(1024*1024)</f>
        <v>14.878125</v>
      </c>
      <c r="P237" s="190">
        <f>O237*126.31/3600</f>
        <v>0.5220155468750001</v>
      </c>
      <c r="Q237" s="190">
        <f>O237*63/3600</f>
        <v>0.26036718750000004</v>
      </c>
      <c r="R237" s="190">
        <f>O237*42.139/3600</f>
        <v>0.17415258593750002</v>
      </c>
      <c r="S237" s="186" t="s">
        <v>150</v>
      </c>
      <c r="T237" s="186" t="s">
        <v>182</v>
      </c>
      <c r="U237" s="262" t="s">
        <v>155</v>
      </c>
      <c r="V237" s="184" t="s">
        <v>43</v>
      </c>
    </row>
    <row r="238" spans="1:22" ht="25.5">
      <c r="A238" s="183" t="s">
        <v>156</v>
      </c>
      <c r="B238" s="184"/>
      <c r="C238" s="183" t="s">
        <v>357</v>
      </c>
      <c r="D238" s="185">
        <v>36578</v>
      </c>
      <c r="E238" s="186" t="s">
        <v>149</v>
      </c>
      <c r="F238" s="187">
        <v>0.875</v>
      </c>
      <c r="G238" s="188">
        <v>0.020833333333333332</v>
      </c>
      <c r="H238" s="188">
        <f t="shared" si="44"/>
        <v>0.8958333333333334</v>
      </c>
      <c r="I238" s="184"/>
      <c r="J238" s="184">
        <v>8</v>
      </c>
      <c r="K238" s="184">
        <v>16</v>
      </c>
      <c r="L238" s="184">
        <v>18</v>
      </c>
      <c r="M238" s="184">
        <v>4</v>
      </c>
      <c r="N238" s="184">
        <v>2.6</v>
      </c>
      <c r="O238" s="189">
        <f>K238*1625088/N238/(1024*1024)</f>
        <v>9.537259615384615</v>
      </c>
      <c r="P238" s="190">
        <f aca="true" t="shared" si="50" ref="P238:P247">O238*126.31/3600</f>
        <v>0.3346253505608974</v>
      </c>
      <c r="Q238" s="190">
        <f aca="true" t="shared" si="51" ref="Q238:Q246">O238*63/3600</f>
        <v>0.16690204326923075</v>
      </c>
      <c r="R238" s="190">
        <f aca="true" t="shared" si="52" ref="R238:R247">O238*42.139/3600</f>
        <v>0.11163627303685898</v>
      </c>
      <c r="S238" s="186" t="s">
        <v>150</v>
      </c>
      <c r="T238" s="186" t="s">
        <v>182</v>
      </c>
      <c r="U238" s="183" t="s">
        <v>157</v>
      </c>
      <c r="V238" s="184" t="s">
        <v>43</v>
      </c>
    </row>
    <row r="239" spans="1:22" ht="25.5">
      <c r="A239" s="193" t="s">
        <v>158</v>
      </c>
      <c r="B239" s="199"/>
      <c r="C239" s="193" t="s">
        <v>357</v>
      </c>
      <c r="D239" s="195">
        <v>36578</v>
      </c>
      <c r="E239" s="196" t="s">
        <v>149</v>
      </c>
      <c r="F239" s="197">
        <v>0.875</v>
      </c>
      <c r="G239" s="198">
        <v>0.020833333333333332</v>
      </c>
      <c r="H239" s="198">
        <f t="shared" si="44"/>
        <v>0.8958333333333334</v>
      </c>
      <c r="I239" s="199"/>
      <c r="J239" s="199"/>
      <c r="K239" s="199">
        <v>196</v>
      </c>
      <c r="L239" s="199"/>
      <c r="M239" s="199"/>
      <c r="N239" s="199"/>
      <c r="O239" s="200">
        <f>K239*2864/2.5/1000000</f>
        <v>0.2245376</v>
      </c>
      <c r="P239" s="201">
        <f t="shared" si="50"/>
        <v>0.007878151182222223</v>
      </c>
      <c r="Q239" s="201">
        <f t="shared" si="51"/>
        <v>0.0039294080000000006</v>
      </c>
      <c r="R239" s="201">
        <f t="shared" si="52"/>
        <v>0.002628274979555556</v>
      </c>
      <c r="S239" s="196" t="s">
        <v>150</v>
      </c>
      <c r="T239" s="196" t="s">
        <v>182</v>
      </c>
      <c r="U239" s="193" t="s">
        <v>159</v>
      </c>
      <c r="V239" s="199" t="s">
        <v>43</v>
      </c>
    </row>
    <row r="240" spans="1:22" ht="25.5">
      <c r="A240" s="228" t="s">
        <v>160</v>
      </c>
      <c r="B240" s="184"/>
      <c r="C240" s="183" t="s">
        <v>357</v>
      </c>
      <c r="D240" s="241">
        <v>36578</v>
      </c>
      <c r="E240" s="242" t="s">
        <v>149</v>
      </c>
      <c r="F240" s="188">
        <v>0.9444444444444445</v>
      </c>
      <c r="G240" s="188">
        <v>0.011805555555555555</v>
      </c>
      <c r="H240" s="188">
        <f t="shared" si="44"/>
        <v>0.95625</v>
      </c>
      <c r="I240" s="229" t="s">
        <v>324</v>
      </c>
      <c r="J240" s="229">
        <v>8</v>
      </c>
      <c r="K240" s="184">
        <v>6</v>
      </c>
      <c r="L240" s="184">
        <v>27</v>
      </c>
      <c r="M240" s="184">
        <v>4</v>
      </c>
      <c r="N240" s="184">
        <v>2.5</v>
      </c>
      <c r="O240" s="189">
        <f>K240*1625088/N240/(1024*1024)</f>
        <v>3.71953125</v>
      </c>
      <c r="P240" s="190">
        <f t="shared" si="50"/>
        <v>0.13050388671875002</v>
      </c>
      <c r="Q240" s="190">
        <f t="shared" si="51"/>
        <v>0.06509179687500001</v>
      </c>
      <c r="R240" s="190">
        <f t="shared" si="52"/>
        <v>0.043538146484375005</v>
      </c>
      <c r="S240" s="186" t="s">
        <v>150</v>
      </c>
      <c r="T240" s="186" t="s">
        <v>182</v>
      </c>
      <c r="U240" s="262" t="s">
        <v>151</v>
      </c>
      <c r="V240" s="184" t="s">
        <v>43</v>
      </c>
    </row>
    <row r="241" spans="1:22" ht="25.5">
      <c r="A241" s="228" t="s">
        <v>161</v>
      </c>
      <c r="B241" s="184"/>
      <c r="C241" s="183" t="s">
        <v>357</v>
      </c>
      <c r="D241" s="241">
        <v>36578</v>
      </c>
      <c r="E241" s="242" t="s">
        <v>149</v>
      </c>
      <c r="F241" s="188">
        <v>0.9791666666666666</v>
      </c>
      <c r="G241" s="188">
        <v>0.006944444444444444</v>
      </c>
      <c r="H241" s="188">
        <f t="shared" si="44"/>
        <v>0.986111111111111</v>
      </c>
      <c r="I241" s="184"/>
      <c r="J241" s="229">
        <v>12</v>
      </c>
      <c r="K241" s="184">
        <v>4</v>
      </c>
      <c r="L241" s="184">
        <v>29</v>
      </c>
      <c r="M241" s="184">
        <v>0</v>
      </c>
      <c r="N241" s="184">
        <v>2.6</v>
      </c>
      <c r="O241" s="189">
        <f>K241*1625088/N241/(1024*1024)</f>
        <v>2.3843149038461537</v>
      </c>
      <c r="P241" s="190">
        <f t="shared" si="50"/>
        <v>0.08365633764022436</v>
      </c>
      <c r="Q241" s="190">
        <f t="shared" si="51"/>
        <v>0.04172551081730769</v>
      </c>
      <c r="R241" s="190">
        <f t="shared" si="52"/>
        <v>0.027909068259214746</v>
      </c>
      <c r="S241" s="186" t="s">
        <v>150</v>
      </c>
      <c r="T241" s="186" t="s">
        <v>180</v>
      </c>
      <c r="U241" s="183" t="s">
        <v>162</v>
      </c>
      <c r="V241" s="184" t="s">
        <v>43</v>
      </c>
    </row>
    <row r="242" spans="1:22" ht="25.5">
      <c r="A242" s="183" t="s">
        <v>163</v>
      </c>
      <c r="B242" s="184"/>
      <c r="C242" s="183" t="s">
        <v>357</v>
      </c>
      <c r="D242" s="185">
        <v>36579</v>
      </c>
      <c r="E242" s="186" t="s">
        <v>164</v>
      </c>
      <c r="F242" s="187">
        <v>0.041666666666666664</v>
      </c>
      <c r="G242" s="188">
        <v>0.020833333333333332</v>
      </c>
      <c r="H242" s="188">
        <f t="shared" si="44"/>
        <v>0.0625</v>
      </c>
      <c r="I242" s="184"/>
      <c r="J242" s="184">
        <v>8</v>
      </c>
      <c r="K242" s="184">
        <v>16</v>
      </c>
      <c r="L242" s="184">
        <v>18</v>
      </c>
      <c r="M242" s="184">
        <v>4</v>
      </c>
      <c r="N242" s="184">
        <v>2.6</v>
      </c>
      <c r="O242" s="189">
        <f>K242*1625088/N242/(1024*1024)</f>
        <v>9.537259615384615</v>
      </c>
      <c r="P242" s="190">
        <f t="shared" si="50"/>
        <v>0.3346253505608974</v>
      </c>
      <c r="Q242" s="190">
        <f t="shared" si="51"/>
        <v>0.16690204326923075</v>
      </c>
      <c r="R242" s="190">
        <f t="shared" si="52"/>
        <v>0.11163627303685898</v>
      </c>
      <c r="S242" s="186" t="s">
        <v>150</v>
      </c>
      <c r="T242" s="186" t="s">
        <v>182</v>
      </c>
      <c r="U242" s="183" t="s">
        <v>165</v>
      </c>
      <c r="V242" s="184" t="s">
        <v>43</v>
      </c>
    </row>
    <row r="243" spans="1:22" ht="25.5">
      <c r="A243" s="193" t="s">
        <v>166</v>
      </c>
      <c r="B243" s="199"/>
      <c r="C243" s="193" t="s">
        <v>357</v>
      </c>
      <c r="D243" s="195">
        <v>36579</v>
      </c>
      <c r="E243" s="196" t="s">
        <v>164</v>
      </c>
      <c r="F243" s="197">
        <v>0.041666666666666664</v>
      </c>
      <c r="G243" s="198">
        <v>0.020833333333333332</v>
      </c>
      <c r="H243" s="198">
        <f t="shared" si="44"/>
        <v>0.0625</v>
      </c>
      <c r="I243" s="199"/>
      <c r="J243" s="199"/>
      <c r="K243" s="199">
        <v>196</v>
      </c>
      <c r="L243" s="199"/>
      <c r="M243" s="199"/>
      <c r="N243" s="199"/>
      <c r="O243" s="200">
        <f>K243*2864/2.5/1000000</f>
        <v>0.2245376</v>
      </c>
      <c r="P243" s="201">
        <f t="shared" si="50"/>
        <v>0.007878151182222223</v>
      </c>
      <c r="Q243" s="201">
        <f t="shared" si="51"/>
        <v>0.0039294080000000006</v>
      </c>
      <c r="R243" s="201">
        <f t="shared" si="52"/>
        <v>0.002628274979555556</v>
      </c>
      <c r="S243" s="196" t="s">
        <v>150</v>
      </c>
      <c r="T243" s="196" t="s">
        <v>182</v>
      </c>
      <c r="U243" s="193" t="s">
        <v>0</v>
      </c>
      <c r="V243" s="199" t="s">
        <v>43</v>
      </c>
    </row>
    <row r="244" spans="1:22" ht="25.5">
      <c r="A244" s="228" t="s">
        <v>1</v>
      </c>
      <c r="B244" s="184"/>
      <c r="C244" s="183" t="s">
        <v>357</v>
      </c>
      <c r="D244" s="241">
        <v>36579</v>
      </c>
      <c r="E244" s="242" t="s">
        <v>164</v>
      </c>
      <c r="F244" s="188">
        <v>0.17708333333333334</v>
      </c>
      <c r="G244" s="188">
        <v>0.011805555555555555</v>
      </c>
      <c r="H244" s="188">
        <f t="shared" si="44"/>
        <v>0.18888888888888888</v>
      </c>
      <c r="I244" s="229" t="s">
        <v>294</v>
      </c>
      <c r="J244" s="229">
        <v>8</v>
      </c>
      <c r="K244" s="184">
        <v>6</v>
      </c>
      <c r="L244" s="184">
        <v>27</v>
      </c>
      <c r="M244" s="184">
        <v>4</v>
      </c>
      <c r="N244" s="184">
        <v>2.5</v>
      </c>
      <c r="O244" s="189">
        <f>2*K244*1625088/N244/(1024*1024)</f>
        <v>7.4390625</v>
      </c>
      <c r="P244" s="190">
        <f t="shared" si="50"/>
        <v>0.26100777343750003</v>
      </c>
      <c r="Q244" s="190">
        <f t="shared" si="51"/>
        <v>0.13018359375000002</v>
      </c>
      <c r="R244" s="190">
        <f t="shared" si="52"/>
        <v>0.08707629296875001</v>
      </c>
      <c r="S244" s="186" t="s">
        <v>150</v>
      </c>
      <c r="T244" s="186" t="s">
        <v>182</v>
      </c>
      <c r="U244" s="262" t="s">
        <v>151</v>
      </c>
      <c r="V244" s="184" t="s">
        <v>43</v>
      </c>
    </row>
    <row r="245" spans="1:22" ht="25.5">
      <c r="A245" s="228" t="s">
        <v>2</v>
      </c>
      <c r="B245" s="184"/>
      <c r="C245" s="183" t="s">
        <v>357</v>
      </c>
      <c r="D245" s="241">
        <v>36579</v>
      </c>
      <c r="E245" s="242" t="s">
        <v>164</v>
      </c>
      <c r="F245" s="188">
        <v>0.2569444444444445</v>
      </c>
      <c r="G245" s="188">
        <v>0.011805555555555555</v>
      </c>
      <c r="H245" s="188">
        <f t="shared" si="44"/>
        <v>0.26875000000000004</v>
      </c>
      <c r="I245" s="229" t="s">
        <v>324</v>
      </c>
      <c r="J245" s="229">
        <v>8</v>
      </c>
      <c r="K245" s="184">
        <v>6</v>
      </c>
      <c r="L245" s="184">
        <v>27</v>
      </c>
      <c r="M245" s="184">
        <v>4</v>
      </c>
      <c r="N245" s="184">
        <v>2.5</v>
      </c>
      <c r="O245" s="189">
        <f>K245*1625088/N245/(1024*1024)</f>
        <v>3.71953125</v>
      </c>
      <c r="P245" s="190">
        <f t="shared" si="50"/>
        <v>0.13050388671875002</v>
      </c>
      <c r="Q245" s="190">
        <f t="shared" si="51"/>
        <v>0.06509179687500001</v>
      </c>
      <c r="R245" s="190">
        <f t="shared" si="52"/>
        <v>0.043538146484375005</v>
      </c>
      <c r="S245" s="186" t="s">
        <v>150</v>
      </c>
      <c r="T245" s="186" t="s">
        <v>182</v>
      </c>
      <c r="U245" s="262" t="s">
        <v>151</v>
      </c>
      <c r="V245" s="184" t="s">
        <v>43</v>
      </c>
    </row>
    <row r="246" spans="1:22" ht="38.25">
      <c r="A246" s="338" t="s">
        <v>3</v>
      </c>
      <c r="B246" s="337"/>
      <c r="C246" s="338" t="s">
        <v>190</v>
      </c>
      <c r="D246" s="339">
        <v>36579</v>
      </c>
      <c r="E246" s="340" t="s">
        <v>164</v>
      </c>
      <c r="F246" s="341">
        <v>0.3854166666666667</v>
      </c>
      <c r="G246" s="341">
        <v>0.22916666666666666</v>
      </c>
      <c r="H246" s="342">
        <f t="shared" si="44"/>
        <v>0.6145833333333334</v>
      </c>
      <c r="I246" s="337"/>
      <c r="J246" s="337">
        <v>12</v>
      </c>
      <c r="K246" s="337">
        <v>216</v>
      </c>
      <c r="L246" s="337">
        <v>18</v>
      </c>
      <c r="M246" s="337">
        <v>4</v>
      </c>
      <c r="N246" s="337">
        <v>2.6</v>
      </c>
      <c r="O246" s="344">
        <f>K246*1625088/N246/(1024*1024)</f>
        <v>128.7530048076923</v>
      </c>
      <c r="P246" s="345">
        <f t="shared" si="50"/>
        <v>4.517442232572115</v>
      </c>
      <c r="Q246" s="345">
        <f t="shared" si="51"/>
        <v>2.253177584134615</v>
      </c>
      <c r="R246" s="345">
        <f t="shared" si="52"/>
        <v>1.507089685997596</v>
      </c>
      <c r="S246" s="340" t="s">
        <v>150</v>
      </c>
      <c r="T246" s="340" t="s">
        <v>182</v>
      </c>
      <c r="U246" s="338" t="s">
        <v>4</v>
      </c>
      <c r="V246" s="337" t="s">
        <v>43</v>
      </c>
    </row>
    <row r="247" spans="1:22" ht="25.5">
      <c r="A247" s="193" t="s">
        <v>5</v>
      </c>
      <c r="B247" s="199"/>
      <c r="C247" s="193" t="s">
        <v>190</v>
      </c>
      <c r="D247" s="195">
        <v>36579</v>
      </c>
      <c r="E247" s="196" t="s">
        <v>164</v>
      </c>
      <c r="F247" s="197">
        <v>0.3854166666666667</v>
      </c>
      <c r="G247" s="197">
        <v>0.22916666666666666</v>
      </c>
      <c r="H247" s="198">
        <f t="shared" si="44"/>
        <v>0.6145833333333334</v>
      </c>
      <c r="I247" s="199"/>
      <c r="J247" s="199"/>
      <c r="K247" s="199">
        <v>2808</v>
      </c>
      <c r="L247" s="199"/>
      <c r="M247" s="199"/>
      <c r="N247" s="199"/>
      <c r="O247" s="200">
        <f>K247*2864/2.5/1000000</f>
        <v>3.2168447999999996</v>
      </c>
      <c r="P247" s="201">
        <f t="shared" si="50"/>
        <v>0.11286657407999999</v>
      </c>
      <c r="Q247" s="201">
        <f>O247*1000/17.6/3600</f>
        <v>0.050770909090909075</v>
      </c>
      <c r="R247" s="201">
        <f t="shared" si="52"/>
        <v>0.037654061951999995</v>
      </c>
      <c r="S247" s="196" t="s">
        <v>150</v>
      </c>
      <c r="T247" s="196" t="s">
        <v>182</v>
      </c>
      <c r="U247" s="193" t="s">
        <v>6</v>
      </c>
      <c r="V247" s="199" t="s">
        <v>43</v>
      </c>
    </row>
    <row r="248" spans="1:22" ht="12.75">
      <c r="A248" s="205" t="s">
        <v>67</v>
      </c>
      <c r="B248" s="206">
        <v>43</v>
      </c>
      <c r="C248" s="207"/>
      <c r="D248" s="227">
        <v>36579</v>
      </c>
      <c r="E248" s="214" t="s">
        <v>164</v>
      </c>
      <c r="F248" s="210">
        <v>0.6458333333333334</v>
      </c>
      <c r="G248" s="210">
        <v>0.21875</v>
      </c>
      <c r="H248" s="211">
        <f t="shared" si="44"/>
        <v>0.8645833333333334</v>
      </c>
      <c r="I248" s="207"/>
      <c r="J248" s="207"/>
      <c r="K248" s="207"/>
      <c r="L248" s="207"/>
      <c r="M248" s="207"/>
      <c r="N248" s="207"/>
      <c r="O248" s="213">
        <f>SUM(O237:O247)</f>
        <v>183.63400894230767</v>
      </c>
      <c r="P248" s="213">
        <f>SUM(P237:P247)</f>
        <v>6.4430032415285785</v>
      </c>
      <c r="Q248" s="213">
        <f>SUM(Q237:Q247)</f>
        <v>3.2080712815812933</v>
      </c>
      <c r="R248" s="213">
        <f>SUM(R237:R247)</f>
        <v>2.1494870841166396</v>
      </c>
      <c r="S248" s="214"/>
      <c r="T248" s="214"/>
      <c r="U248" s="217"/>
      <c r="V248" s="217"/>
    </row>
    <row r="249" spans="1:22" ht="25.5">
      <c r="A249" s="228" t="s">
        <v>7</v>
      </c>
      <c r="B249" s="184"/>
      <c r="C249" s="183" t="s">
        <v>357</v>
      </c>
      <c r="D249" s="241">
        <v>36579</v>
      </c>
      <c r="E249" s="242" t="s">
        <v>164</v>
      </c>
      <c r="F249" s="188">
        <v>0.8680555555555555</v>
      </c>
      <c r="G249" s="188">
        <v>0.011805555555555555</v>
      </c>
      <c r="H249" s="188">
        <f t="shared" si="44"/>
        <v>0.879861111111111</v>
      </c>
      <c r="I249" s="229" t="s">
        <v>324</v>
      </c>
      <c r="J249" s="229">
        <v>8</v>
      </c>
      <c r="K249" s="184">
        <v>6</v>
      </c>
      <c r="L249" s="184">
        <v>27</v>
      </c>
      <c r="M249" s="184">
        <v>4</v>
      </c>
      <c r="N249" s="184">
        <v>2.5</v>
      </c>
      <c r="O249" s="189">
        <f>K249*1625088/N249/(1024*1024)</f>
        <v>3.71953125</v>
      </c>
      <c r="P249" s="190">
        <f aca="true" t="shared" si="53" ref="P249:P255">O249*126.31/3600</f>
        <v>0.13050388671875002</v>
      </c>
      <c r="Q249" s="190">
        <f aca="true" t="shared" si="54" ref="Q249:Q255">O249*63/3600</f>
        <v>0.06509179687500001</v>
      </c>
      <c r="R249" s="190">
        <f aca="true" t="shared" si="55" ref="R249:R255">O249*42.139/3600</f>
        <v>0.043538146484375005</v>
      </c>
      <c r="S249" s="186" t="s">
        <v>150</v>
      </c>
      <c r="T249" s="186" t="s">
        <v>182</v>
      </c>
      <c r="U249" s="262" t="s">
        <v>151</v>
      </c>
      <c r="V249" s="184" t="s">
        <v>43</v>
      </c>
    </row>
    <row r="250" spans="1:22" ht="25.5">
      <c r="A250" s="228" t="s">
        <v>8</v>
      </c>
      <c r="B250" s="184"/>
      <c r="C250" s="183" t="s">
        <v>357</v>
      </c>
      <c r="D250" s="241">
        <v>36579</v>
      </c>
      <c r="E250" s="242" t="s">
        <v>164</v>
      </c>
      <c r="F250" s="188">
        <v>0.9375</v>
      </c>
      <c r="G250" s="188">
        <v>0.006944444444444444</v>
      </c>
      <c r="H250" s="188">
        <f t="shared" si="44"/>
        <v>0.9444444444444444</v>
      </c>
      <c r="I250" s="184"/>
      <c r="J250" s="229">
        <v>12</v>
      </c>
      <c r="K250" s="184">
        <v>4</v>
      </c>
      <c r="L250" s="184">
        <v>29</v>
      </c>
      <c r="M250" s="184">
        <v>0</v>
      </c>
      <c r="N250" s="184">
        <v>2.6</v>
      </c>
      <c r="O250" s="189">
        <f>K250*1625088/N250/(1024*1024)</f>
        <v>2.3843149038461537</v>
      </c>
      <c r="P250" s="190">
        <f t="shared" si="53"/>
        <v>0.08365633764022436</v>
      </c>
      <c r="Q250" s="190">
        <f t="shared" si="54"/>
        <v>0.04172551081730769</v>
      </c>
      <c r="R250" s="190">
        <f t="shared" si="55"/>
        <v>0.027909068259214746</v>
      </c>
      <c r="S250" s="186" t="s">
        <v>150</v>
      </c>
      <c r="T250" s="186" t="s">
        <v>180</v>
      </c>
      <c r="U250" s="183" t="s">
        <v>162</v>
      </c>
      <c r="V250" s="184" t="s">
        <v>43</v>
      </c>
    </row>
    <row r="251" spans="1:22" ht="25.5">
      <c r="A251" s="228" t="s">
        <v>9</v>
      </c>
      <c r="B251" s="184"/>
      <c r="C251" s="183" t="s">
        <v>357</v>
      </c>
      <c r="D251" s="241">
        <v>36580</v>
      </c>
      <c r="E251" s="242" t="s">
        <v>10</v>
      </c>
      <c r="F251" s="188">
        <v>0.22916666666666666</v>
      </c>
      <c r="G251" s="188">
        <v>0.011805555555555555</v>
      </c>
      <c r="H251" s="188">
        <f t="shared" si="44"/>
        <v>0.2409722222222222</v>
      </c>
      <c r="I251" s="229" t="s">
        <v>324</v>
      </c>
      <c r="J251" s="229">
        <v>8</v>
      </c>
      <c r="K251" s="184">
        <v>6</v>
      </c>
      <c r="L251" s="184">
        <v>27</v>
      </c>
      <c r="M251" s="184">
        <v>4</v>
      </c>
      <c r="N251" s="184">
        <v>2.5</v>
      </c>
      <c r="O251" s="189">
        <f>K251*1625088/N251/(1024*1024)</f>
        <v>3.71953125</v>
      </c>
      <c r="P251" s="190">
        <f t="shared" si="53"/>
        <v>0.13050388671875002</v>
      </c>
      <c r="Q251" s="190">
        <f t="shared" si="54"/>
        <v>0.06509179687500001</v>
      </c>
      <c r="R251" s="190">
        <f t="shared" si="55"/>
        <v>0.043538146484375005</v>
      </c>
      <c r="S251" s="186" t="s">
        <v>150</v>
      </c>
      <c r="T251" s="186" t="s">
        <v>182</v>
      </c>
      <c r="U251" s="262" t="s">
        <v>151</v>
      </c>
      <c r="V251" s="184" t="s">
        <v>43</v>
      </c>
    </row>
    <row r="252" spans="1:22" ht="25.5">
      <c r="A252" s="183" t="s">
        <v>11</v>
      </c>
      <c r="B252" s="184"/>
      <c r="C252" s="183" t="s">
        <v>357</v>
      </c>
      <c r="D252" s="185">
        <v>36580</v>
      </c>
      <c r="E252" s="186" t="s">
        <v>10</v>
      </c>
      <c r="F252" s="187">
        <v>0.34375</v>
      </c>
      <c r="G252" s="188">
        <v>0.020833333333333332</v>
      </c>
      <c r="H252" s="188">
        <f t="shared" si="44"/>
        <v>0.3645833333333333</v>
      </c>
      <c r="I252" s="184"/>
      <c r="J252" s="184">
        <v>8</v>
      </c>
      <c r="K252" s="184">
        <v>16</v>
      </c>
      <c r="L252" s="184">
        <v>18</v>
      </c>
      <c r="M252" s="184">
        <v>4</v>
      </c>
      <c r="N252" s="184">
        <v>2.6</v>
      </c>
      <c r="O252" s="189">
        <f>K252*1625088/N252/(1024*1024)</f>
        <v>9.537259615384615</v>
      </c>
      <c r="P252" s="190">
        <f t="shared" si="53"/>
        <v>0.3346253505608974</v>
      </c>
      <c r="Q252" s="190">
        <f t="shared" si="54"/>
        <v>0.16690204326923075</v>
      </c>
      <c r="R252" s="190">
        <f t="shared" si="55"/>
        <v>0.11163627303685898</v>
      </c>
      <c r="S252" s="186" t="s">
        <v>150</v>
      </c>
      <c r="T252" s="186" t="s">
        <v>182</v>
      </c>
      <c r="U252" s="183" t="s">
        <v>12</v>
      </c>
      <c r="V252" s="184" t="s">
        <v>43</v>
      </c>
    </row>
    <row r="253" spans="1:22" ht="25.5">
      <c r="A253" s="193" t="s">
        <v>13</v>
      </c>
      <c r="B253" s="199"/>
      <c r="C253" s="193" t="s">
        <v>357</v>
      </c>
      <c r="D253" s="195">
        <v>36580</v>
      </c>
      <c r="E253" s="196" t="s">
        <v>10</v>
      </c>
      <c r="F253" s="197">
        <v>0.34375</v>
      </c>
      <c r="G253" s="198">
        <v>0.020833333333333332</v>
      </c>
      <c r="H253" s="198">
        <f t="shared" si="44"/>
        <v>0.3645833333333333</v>
      </c>
      <c r="I253" s="199"/>
      <c r="J253" s="199"/>
      <c r="K253" s="199">
        <v>196</v>
      </c>
      <c r="L253" s="199"/>
      <c r="M253" s="199"/>
      <c r="N253" s="199"/>
      <c r="O253" s="200">
        <f>K253*2864/2.5/1000000</f>
        <v>0.2245376</v>
      </c>
      <c r="P253" s="201">
        <f t="shared" si="53"/>
        <v>0.007878151182222223</v>
      </c>
      <c r="Q253" s="201">
        <f t="shared" si="54"/>
        <v>0.0039294080000000006</v>
      </c>
      <c r="R253" s="201">
        <f t="shared" si="55"/>
        <v>0.002628274979555556</v>
      </c>
      <c r="S253" s="196" t="s">
        <v>150</v>
      </c>
      <c r="T253" s="196" t="s">
        <v>182</v>
      </c>
      <c r="U253" s="193" t="s">
        <v>14</v>
      </c>
      <c r="V253" s="199" t="s">
        <v>43</v>
      </c>
    </row>
    <row r="254" spans="1:22" ht="25.5">
      <c r="A254" s="228" t="s">
        <v>15</v>
      </c>
      <c r="B254" s="184"/>
      <c r="C254" s="183" t="s">
        <v>357</v>
      </c>
      <c r="D254" s="241">
        <v>36580</v>
      </c>
      <c r="E254" s="242" t="s">
        <v>10</v>
      </c>
      <c r="F254" s="188">
        <v>0.4166666666666667</v>
      </c>
      <c r="G254" s="188">
        <v>0.006944444444444444</v>
      </c>
      <c r="H254" s="188">
        <f t="shared" si="44"/>
        <v>0.4236111111111111</v>
      </c>
      <c r="I254" s="184"/>
      <c r="J254" s="229">
        <v>12</v>
      </c>
      <c r="K254" s="184">
        <v>4</v>
      </c>
      <c r="L254" s="184">
        <v>29</v>
      </c>
      <c r="M254" s="184">
        <v>0</v>
      </c>
      <c r="N254" s="184">
        <v>2.6</v>
      </c>
      <c r="O254" s="189">
        <f>K254*1625088/N254/(1024*1024)</f>
        <v>2.3843149038461537</v>
      </c>
      <c r="P254" s="190">
        <f t="shared" si="53"/>
        <v>0.08365633764022436</v>
      </c>
      <c r="Q254" s="190">
        <f t="shared" si="54"/>
        <v>0.04172551081730769</v>
      </c>
      <c r="R254" s="190">
        <f t="shared" si="55"/>
        <v>0.027909068259214746</v>
      </c>
      <c r="S254" s="186" t="s">
        <v>150</v>
      </c>
      <c r="T254" s="186" t="s">
        <v>180</v>
      </c>
      <c r="U254" s="183" t="s">
        <v>162</v>
      </c>
      <c r="V254" s="184" t="s">
        <v>43</v>
      </c>
    </row>
    <row r="255" spans="1:22" ht="25.5">
      <c r="A255" s="228" t="s">
        <v>16</v>
      </c>
      <c r="B255" s="184"/>
      <c r="C255" s="183" t="s">
        <v>357</v>
      </c>
      <c r="D255" s="241">
        <v>36580</v>
      </c>
      <c r="E255" s="242" t="s">
        <v>10</v>
      </c>
      <c r="F255" s="188">
        <v>0.4826388888888889</v>
      </c>
      <c r="G255" s="188">
        <v>0.011805555555555555</v>
      </c>
      <c r="H255" s="188">
        <f t="shared" si="44"/>
        <v>0.49444444444444446</v>
      </c>
      <c r="I255" s="229" t="s">
        <v>324</v>
      </c>
      <c r="J255" s="229">
        <v>8</v>
      </c>
      <c r="K255" s="184">
        <v>6</v>
      </c>
      <c r="L255" s="184">
        <v>27</v>
      </c>
      <c r="M255" s="184">
        <v>4</v>
      </c>
      <c r="N255" s="184">
        <v>2.5</v>
      </c>
      <c r="O255" s="189">
        <f>K255*1625088/N255/(1024*1024)</f>
        <v>3.71953125</v>
      </c>
      <c r="P255" s="190">
        <f t="shared" si="53"/>
        <v>0.13050388671875002</v>
      </c>
      <c r="Q255" s="190">
        <f t="shared" si="54"/>
        <v>0.06509179687500001</v>
      </c>
      <c r="R255" s="190">
        <f t="shared" si="55"/>
        <v>0.043538146484375005</v>
      </c>
      <c r="S255" s="186" t="s">
        <v>150</v>
      </c>
      <c r="T255" s="186" t="s">
        <v>182</v>
      </c>
      <c r="U255" s="262" t="s">
        <v>151</v>
      </c>
      <c r="V255" s="184" t="s">
        <v>43</v>
      </c>
    </row>
    <row r="256" spans="1:22" ht="12.75">
      <c r="A256" s="205" t="s">
        <v>67</v>
      </c>
      <c r="B256" s="206">
        <v>14</v>
      </c>
      <c r="C256" s="207"/>
      <c r="D256" s="227">
        <v>36580</v>
      </c>
      <c r="E256" s="214" t="s">
        <v>10</v>
      </c>
      <c r="F256" s="210">
        <v>0.513888888888889</v>
      </c>
      <c r="G256" s="210">
        <v>0.23611111111111113</v>
      </c>
      <c r="H256" s="211">
        <f t="shared" si="44"/>
        <v>0.7500000000000001</v>
      </c>
      <c r="I256" s="207"/>
      <c r="J256" s="207"/>
      <c r="K256" s="207"/>
      <c r="L256" s="207"/>
      <c r="M256" s="207"/>
      <c r="N256" s="207"/>
      <c r="O256" s="213">
        <f>SUM(O249:O255)</f>
        <v>25.689020773076926</v>
      </c>
      <c r="P256" s="213">
        <f>SUM(P249:P255)</f>
        <v>0.9013278371798185</v>
      </c>
      <c r="Q256" s="213">
        <f>SUM(Q249:Q255)</f>
        <v>0.44955786352884614</v>
      </c>
      <c r="R256" s="213">
        <f>SUM(R249:R255)</f>
        <v>0.30069712398796905</v>
      </c>
      <c r="S256" s="214"/>
      <c r="T256" s="214"/>
      <c r="U256" s="217"/>
      <c r="V256" s="217"/>
    </row>
    <row r="257" spans="1:22" ht="12.75">
      <c r="A257" s="356" t="s">
        <v>52</v>
      </c>
      <c r="B257" s="271"/>
      <c r="C257" s="218"/>
      <c r="D257" s="272">
        <v>36580</v>
      </c>
      <c r="E257" s="273" t="s">
        <v>10</v>
      </c>
      <c r="F257" s="224">
        <v>0.7083333333333334</v>
      </c>
      <c r="G257" s="224"/>
      <c r="H257" s="224"/>
      <c r="I257" s="274"/>
      <c r="J257" s="274"/>
      <c r="K257" s="223"/>
      <c r="L257" s="223"/>
      <c r="M257" s="223"/>
      <c r="N257" s="223"/>
      <c r="O257" s="225"/>
      <c r="P257" s="226"/>
      <c r="Q257" s="226"/>
      <c r="R257" s="226"/>
      <c r="S257" s="221"/>
      <c r="T257" s="221"/>
      <c r="U257" s="218"/>
      <c r="V257" s="218"/>
    </row>
    <row r="258" spans="1:22" ht="25.5">
      <c r="A258" s="228" t="s">
        <v>17</v>
      </c>
      <c r="B258" s="184"/>
      <c r="C258" s="183" t="s">
        <v>357</v>
      </c>
      <c r="D258" s="241">
        <v>36580</v>
      </c>
      <c r="E258" s="242" t="s">
        <v>10</v>
      </c>
      <c r="F258" s="188">
        <v>0.7534722222222222</v>
      </c>
      <c r="G258" s="188">
        <v>0.011805555555555555</v>
      </c>
      <c r="H258" s="188">
        <f>SUM(F258:G258)</f>
        <v>0.7652777777777777</v>
      </c>
      <c r="I258" s="229" t="s">
        <v>294</v>
      </c>
      <c r="J258" s="229">
        <v>8</v>
      </c>
      <c r="K258" s="184">
        <v>12</v>
      </c>
      <c r="L258" s="184">
        <v>27</v>
      </c>
      <c r="M258" s="184">
        <v>4</v>
      </c>
      <c r="N258" s="184">
        <v>2.5</v>
      </c>
      <c r="O258" s="189">
        <f>2*K258*1625088/N258/(1024*1024)</f>
        <v>14.878125</v>
      </c>
      <c r="P258" s="190">
        <f>O258*126.31/3600</f>
        <v>0.5220155468750001</v>
      </c>
      <c r="Q258" s="190">
        <f>O258*63/3600</f>
        <v>0.26036718750000004</v>
      </c>
      <c r="R258" s="190">
        <f>O258*42.139/3600</f>
        <v>0.17415258593750002</v>
      </c>
      <c r="S258" s="186" t="s">
        <v>150</v>
      </c>
      <c r="T258" s="186" t="s">
        <v>182</v>
      </c>
      <c r="U258" s="262" t="s">
        <v>155</v>
      </c>
      <c r="V258" s="184" t="s">
        <v>43</v>
      </c>
    </row>
    <row r="259" spans="1:22" ht="12.75">
      <c r="A259" s="174" t="s">
        <v>261</v>
      </c>
      <c r="B259" s="175">
        <v>45</v>
      </c>
      <c r="C259" s="176"/>
      <c r="D259" s="177">
        <v>36580</v>
      </c>
      <c r="E259" s="178" t="s">
        <v>10</v>
      </c>
      <c r="F259" s="179">
        <v>0.7881944444444445</v>
      </c>
      <c r="G259" s="179">
        <v>0.08680555555555557</v>
      </c>
      <c r="H259" s="180">
        <f>SUM(F259:G259)</f>
        <v>0.8750000000000001</v>
      </c>
      <c r="I259" s="176"/>
      <c r="J259" s="176"/>
      <c r="K259" s="176"/>
      <c r="L259" s="176"/>
      <c r="M259" s="176"/>
      <c r="N259" s="176"/>
      <c r="O259" s="181">
        <f>O258</f>
        <v>14.878125</v>
      </c>
      <c r="P259" s="181">
        <f>P258</f>
        <v>0.5220155468750001</v>
      </c>
      <c r="Q259" s="181">
        <f>Q258</f>
        <v>0.26036718750000004</v>
      </c>
      <c r="R259" s="181">
        <f>R258</f>
        <v>0.17415258593750002</v>
      </c>
      <c r="S259" s="178"/>
      <c r="T259" s="178"/>
      <c r="U259" s="182"/>
      <c r="V259" s="182"/>
    </row>
    <row r="260" spans="1:22" ht="25.5">
      <c r="A260" s="228" t="s">
        <v>18</v>
      </c>
      <c r="B260" s="184"/>
      <c r="C260" s="183" t="s">
        <v>357</v>
      </c>
      <c r="D260" s="241">
        <v>36580</v>
      </c>
      <c r="E260" s="242" t="s">
        <v>10</v>
      </c>
      <c r="F260" s="188">
        <v>0.8784722222222222</v>
      </c>
      <c r="G260" s="188">
        <v>0.011805555555555555</v>
      </c>
      <c r="H260" s="188">
        <f t="shared" si="44"/>
        <v>0.8902777777777777</v>
      </c>
      <c r="I260" s="229" t="s">
        <v>294</v>
      </c>
      <c r="J260" s="229">
        <v>8</v>
      </c>
      <c r="K260" s="184">
        <v>12</v>
      </c>
      <c r="L260" s="184">
        <v>27</v>
      </c>
      <c r="M260" s="184">
        <v>4</v>
      </c>
      <c r="N260" s="184">
        <v>2.5</v>
      </c>
      <c r="O260" s="189">
        <f>2*K260*1625088/N260/(1024*1024)</f>
        <v>14.878125</v>
      </c>
      <c r="P260" s="190">
        <f aca="true" t="shared" si="56" ref="P260:P268">O260*126.31/3600</f>
        <v>0.5220155468750001</v>
      </c>
      <c r="Q260" s="190">
        <f aca="true" t="shared" si="57" ref="Q260:Q267">O260*63/3600</f>
        <v>0.26036718750000004</v>
      </c>
      <c r="R260" s="190">
        <f aca="true" t="shared" si="58" ref="R260:R268">O260*42.139/3600</f>
        <v>0.17415258593750002</v>
      </c>
      <c r="S260" s="186" t="s">
        <v>150</v>
      </c>
      <c r="T260" s="186" t="s">
        <v>182</v>
      </c>
      <c r="U260" s="262" t="s">
        <v>155</v>
      </c>
      <c r="V260" s="184" t="s">
        <v>43</v>
      </c>
    </row>
    <row r="261" spans="1:22" ht="12.75">
      <c r="A261" s="174" t="s">
        <v>261</v>
      </c>
      <c r="B261" s="175">
        <v>45</v>
      </c>
      <c r="C261" s="176"/>
      <c r="D261" s="177">
        <v>36581</v>
      </c>
      <c r="E261" s="178" t="s">
        <v>19</v>
      </c>
      <c r="F261" s="179">
        <v>0.03125</v>
      </c>
      <c r="G261" s="179">
        <v>0.13541666666666666</v>
      </c>
      <c r="H261" s="180">
        <f t="shared" si="44"/>
        <v>0.16666666666666666</v>
      </c>
      <c r="I261" s="176"/>
      <c r="J261" s="176"/>
      <c r="K261" s="176"/>
      <c r="L261" s="176"/>
      <c r="M261" s="176"/>
      <c r="N261" s="176"/>
      <c r="O261" s="181">
        <f>O260</f>
        <v>14.878125</v>
      </c>
      <c r="P261" s="181">
        <f>P260</f>
        <v>0.5220155468750001</v>
      </c>
      <c r="Q261" s="181">
        <f>Q260</f>
        <v>0.26036718750000004</v>
      </c>
      <c r="R261" s="181">
        <f>R260</f>
        <v>0.17415258593750002</v>
      </c>
      <c r="S261" s="178"/>
      <c r="T261" s="178"/>
      <c r="U261" s="182"/>
      <c r="V261" s="182"/>
    </row>
    <row r="262" spans="1:22" ht="18" customHeight="1">
      <c r="A262" s="228" t="s">
        <v>20</v>
      </c>
      <c r="B262" s="184"/>
      <c r="C262" s="183" t="s">
        <v>357</v>
      </c>
      <c r="D262" s="241">
        <v>36581</v>
      </c>
      <c r="E262" s="242" t="s">
        <v>19</v>
      </c>
      <c r="F262" s="188">
        <v>0.16666666666666666</v>
      </c>
      <c r="G262" s="188">
        <v>0.006944444444444444</v>
      </c>
      <c r="H262" s="188">
        <f t="shared" si="44"/>
        <v>0.1736111111111111</v>
      </c>
      <c r="I262" s="184"/>
      <c r="J262" s="229">
        <v>12</v>
      </c>
      <c r="K262" s="184">
        <v>4</v>
      </c>
      <c r="L262" s="184">
        <v>29</v>
      </c>
      <c r="M262" s="184">
        <v>0</v>
      </c>
      <c r="N262" s="184">
        <v>2.6</v>
      </c>
      <c r="O262" s="189">
        <f>K262*1625088/N262/(1024*1024)</f>
        <v>2.3843149038461537</v>
      </c>
      <c r="P262" s="190">
        <f t="shared" si="56"/>
        <v>0.08365633764022436</v>
      </c>
      <c r="Q262" s="190">
        <f t="shared" si="57"/>
        <v>0.04172551081730769</v>
      </c>
      <c r="R262" s="190">
        <f t="shared" si="58"/>
        <v>0.027909068259214746</v>
      </c>
      <c r="S262" s="186" t="s">
        <v>150</v>
      </c>
      <c r="T262" s="186" t="s">
        <v>180</v>
      </c>
      <c r="U262" s="183" t="s">
        <v>162</v>
      </c>
      <c r="V262" s="184" t="s">
        <v>43</v>
      </c>
    </row>
    <row r="263" spans="1:22" ht="25.5">
      <c r="A263" s="183" t="s">
        <v>21</v>
      </c>
      <c r="B263" s="184"/>
      <c r="C263" s="183" t="s">
        <v>357</v>
      </c>
      <c r="D263" s="185">
        <v>36581</v>
      </c>
      <c r="E263" s="186" t="s">
        <v>19</v>
      </c>
      <c r="F263" s="187">
        <v>0.20833333333333334</v>
      </c>
      <c r="G263" s="188">
        <v>0.020833333333333332</v>
      </c>
      <c r="H263" s="188">
        <f t="shared" si="44"/>
        <v>0.22916666666666669</v>
      </c>
      <c r="I263" s="184"/>
      <c r="J263" s="184">
        <v>8</v>
      </c>
      <c r="K263" s="184">
        <v>16</v>
      </c>
      <c r="L263" s="184">
        <v>18</v>
      </c>
      <c r="M263" s="184">
        <v>4</v>
      </c>
      <c r="N263" s="184">
        <v>2.6</v>
      </c>
      <c r="O263" s="189">
        <f>K263*1625088/N263/(1024*1024)</f>
        <v>9.537259615384615</v>
      </c>
      <c r="P263" s="190">
        <f t="shared" si="56"/>
        <v>0.3346253505608974</v>
      </c>
      <c r="Q263" s="190">
        <f t="shared" si="57"/>
        <v>0.16690204326923075</v>
      </c>
      <c r="R263" s="190">
        <f t="shared" si="58"/>
        <v>0.11163627303685898</v>
      </c>
      <c r="S263" s="186" t="s">
        <v>150</v>
      </c>
      <c r="T263" s="186" t="s">
        <v>182</v>
      </c>
      <c r="U263" s="183" t="s">
        <v>22</v>
      </c>
      <c r="V263" s="184" t="s">
        <v>43</v>
      </c>
    </row>
    <row r="264" spans="1:22" ht="25.5">
      <c r="A264" s="193" t="s">
        <v>23</v>
      </c>
      <c r="B264" s="199"/>
      <c r="C264" s="193" t="s">
        <v>357</v>
      </c>
      <c r="D264" s="195">
        <v>36581</v>
      </c>
      <c r="E264" s="196" t="s">
        <v>19</v>
      </c>
      <c r="F264" s="197">
        <v>0.20833333333333334</v>
      </c>
      <c r="G264" s="198">
        <v>0.020833333333333332</v>
      </c>
      <c r="H264" s="198">
        <f t="shared" si="44"/>
        <v>0.22916666666666669</v>
      </c>
      <c r="I264" s="199"/>
      <c r="J264" s="199"/>
      <c r="K264" s="199">
        <v>196</v>
      </c>
      <c r="L264" s="199"/>
      <c r="M264" s="199"/>
      <c r="N264" s="199"/>
      <c r="O264" s="200">
        <f>K264*2864/2.5/1000000</f>
        <v>0.2245376</v>
      </c>
      <c r="P264" s="201">
        <f t="shared" si="56"/>
        <v>0.007878151182222223</v>
      </c>
      <c r="Q264" s="201">
        <f t="shared" si="57"/>
        <v>0.0039294080000000006</v>
      </c>
      <c r="R264" s="201">
        <f t="shared" si="58"/>
        <v>0.002628274979555556</v>
      </c>
      <c r="S264" s="196" t="s">
        <v>150</v>
      </c>
      <c r="T264" s="196" t="s">
        <v>182</v>
      </c>
      <c r="U264" s="193" t="s">
        <v>24</v>
      </c>
      <c r="V264" s="199" t="s">
        <v>43</v>
      </c>
    </row>
    <row r="265" spans="1:22" ht="25.5">
      <c r="A265" s="228" t="s">
        <v>25</v>
      </c>
      <c r="B265" s="184"/>
      <c r="C265" s="183" t="s">
        <v>357</v>
      </c>
      <c r="D265" s="241">
        <v>36581</v>
      </c>
      <c r="E265" s="242" t="s">
        <v>19</v>
      </c>
      <c r="F265" s="188">
        <v>0.3055555555555555</v>
      </c>
      <c r="G265" s="188">
        <v>0.011805555555555555</v>
      </c>
      <c r="H265" s="188">
        <f t="shared" si="44"/>
        <v>0.3173611111111111</v>
      </c>
      <c r="I265" s="229" t="s">
        <v>324</v>
      </c>
      <c r="J265" s="229">
        <v>8</v>
      </c>
      <c r="K265" s="184">
        <v>6</v>
      </c>
      <c r="L265" s="184">
        <v>27</v>
      </c>
      <c r="M265" s="184">
        <v>4</v>
      </c>
      <c r="N265" s="184">
        <v>2.5</v>
      </c>
      <c r="O265" s="189">
        <f>K265*1625088/N265/(1024*1024)</f>
        <v>3.71953125</v>
      </c>
      <c r="P265" s="190">
        <f t="shared" si="56"/>
        <v>0.13050388671875002</v>
      </c>
      <c r="Q265" s="190">
        <f t="shared" si="57"/>
        <v>0.06509179687500001</v>
      </c>
      <c r="R265" s="190">
        <f t="shared" si="58"/>
        <v>0.043538146484375005</v>
      </c>
      <c r="S265" s="186" t="s">
        <v>150</v>
      </c>
      <c r="T265" s="186" t="s">
        <v>182</v>
      </c>
      <c r="U265" s="262" t="s">
        <v>151</v>
      </c>
      <c r="V265" s="184" t="s">
        <v>43</v>
      </c>
    </row>
    <row r="266" spans="1:22" ht="38.25">
      <c r="A266" s="275" t="s">
        <v>26</v>
      </c>
      <c r="B266" s="276" t="s">
        <v>27</v>
      </c>
      <c r="C266" s="275" t="s">
        <v>54</v>
      </c>
      <c r="D266" s="277">
        <v>36581</v>
      </c>
      <c r="E266" s="278" t="s">
        <v>19</v>
      </c>
      <c r="F266" s="279">
        <v>0.375</v>
      </c>
      <c r="G266" s="279">
        <v>0.22916666666666666</v>
      </c>
      <c r="H266" s="280">
        <f t="shared" si="44"/>
        <v>0.6041666666666666</v>
      </c>
      <c r="I266" s="276" t="s">
        <v>27</v>
      </c>
      <c r="J266" s="281">
        <v>12</v>
      </c>
      <c r="K266" s="281">
        <v>189</v>
      </c>
      <c r="L266" s="281">
        <v>22</v>
      </c>
      <c r="M266" s="281" t="s">
        <v>418</v>
      </c>
      <c r="N266" s="281">
        <v>1</v>
      </c>
      <c r="O266" s="282">
        <f>K266*1625088/N266/(1024*1024)</f>
        <v>292.9130859375</v>
      </c>
      <c r="P266" s="283">
        <f t="shared" si="56"/>
        <v>10.277181079101561</v>
      </c>
      <c r="Q266" s="283">
        <f t="shared" si="57"/>
        <v>5.12597900390625</v>
      </c>
      <c r="R266" s="283">
        <f t="shared" si="58"/>
        <v>3.4286290356445317</v>
      </c>
      <c r="S266" s="278" t="s">
        <v>150</v>
      </c>
      <c r="T266" s="278" t="s">
        <v>182</v>
      </c>
      <c r="U266" s="275" t="s">
        <v>28</v>
      </c>
      <c r="V266" s="276" t="s">
        <v>43</v>
      </c>
    </row>
    <row r="267" spans="1:22" ht="12.75">
      <c r="A267" s="275"/>
      <c r="B267" s="284"/>
      <c r="C267" s="275"/>
      <c r="D267" s="277"/>
      <c r="E267" s="278"/>
      <c r="F267" s="279"/>
      <c r="G267" s="279"/>
      <c r="H267" s="280"/>
      <c r="I267" s="281"/>
      <c r="J267" s="281">
        <v>12</v>
      </c>
      <c r="K267" s="281">
        <v>189</v>
      </c>
      <c r="L267" s="281">
        <v>21</v>
      </c>
      <c r="M267" s="285" t="s">
        <v>418</v>
      </c>
      <c r="N267" s="281">
        <v>1.7</v>
      </c>
      <c r="O267" s="282">
        <f>K267*1625088/N267/(1024*1024)</f>
        <v>172.30181525735296</v>
      </c>
      <c r="P267" s="283">
        <f t="shared" si="56"/>
        <v>6.045400634765626</v>
      </c>
      <c r="Q267" s="283">
        <f t="shared" si="57"/>
        <v>3.015281767003677</v>
      </c>
      <c r="R267" s="283">
        <f t="shared" si="58"/>
        <v>2.016840609202666</v>
      </c>
      <c r="S267" s="278" t="s">
        <v>150</v>
      </c>
      <c r="T267" s="278" t="s">
        <v>182</v>
      </c>
      <c r="U267" s="275" t="s">
        <v>29</v>
      </c>
      <c r="V267" s="276" t="s">
        <v>43</v>
      </c>
    </row>
    <row r="268" spans="1:22" ht="25.5">
      <c r="A268" s="193" t="s">
        <v>30</v>
      </c>
      <c r="B268" s="199"/>
      <c r="C268" s="193" t="s">
        <v>54</v>
      </c>
      <c r="D268" s="195">
        <v>36581</v>
      </c>
      <c r="E268" s="196" t="s">
        <v>19</v>
      </c>
      <c r="F268" s="197">
        <v>0.375</v>
      </c>
      <c r="G268" s="197">
        <v>0.22916666666666666</v>
      </c>
      <c r="H268" s="198">
        <f>SUM(F268:G268)</f>
        <v>0.6041666666666666</v>
      </c>
      <c r="I268" s="199"/>
      <c r="J268" s="199"/>
      <c r="K268" s="199">
        <v>282</v>
      </c>
      <c r="L268" s="199"/>
      <c r="M268" s="199"/>
      <c r="N268" s="199"/>
      <c r="O268" s="200">
        <f>K268*2864/2.5/1000000</f>
        <v>0.3230592</v>
      </c>
      <c r="P268" s="201">
        <f t="shared" si="56"/>
        <v>0.011334890986666665</v>
      </c>
      <c r="Q268" s="201">
        <f>O268*1000/17.6/3600</f>
        <v>0.005098787878787878</v>
      </c>
      <c r="R268" s="201">
        <f t="shared" si="58"/>
        <v>0.0037814976746666667</v>
      </c>
      <c r="S268" s="196" t="s">
        <v>150</v>
      </c>
      <c r="T268" s="196" t="s">
        <v>182</v>
      </c>
      <c r="U268" s="193" t="s">
        <v>31</v>
      </c>
      <c r="V268" s="199" t="s">
        <v>43</v>
      </c>
    </row>
    <row r="269" spans="1:22" ht="12.75">
      <c r="A269" s="205" t="s">
        <v>67</v>
      </c>
      <c r="B269" s="206">
        <v>43</v>
      </c>
      <c r="C269" s="207"/>
      <c r="D269" s="227">
        <v>36581</v>
      </c>
      <c r="E269" s="214" t="s">
        <v>19</v>
      </c>
      <c r="F269" s="210">
        <v>0.6458333333333334</v>
      </c>
      <c r="G269" s="210">
        <v>0.3333333333333333</v>
      </c>
      <c r="H269" s="211">
        <f>SUM(F269:G269)</f>
        <v>0.9791666666666667</v>
      </c>
      <c r="I269" s="207"/>
      <c r="J269" s="207"/>
      <c r="K269" s="207"/>
      <c r="L269" s="207"/>
      <c r="M269" s="207"/>
      <c r="N269" s="207"/>
      <c r="O269" s="213">
        <f>SUM(O262:O268)</f>
        <v>481.40360376408375</v>
      </c>
      <c r="P269" s="213">
        <f>SUM(P262:P268)</f>
        <v>16.89058033095595</v>
      </c>
      <c r="Q269" s="213">
        <f>SUM(Q262:Q268)</f>
        <v>8.424008317750253</v>
      </c>
      <c r="R269" s="213">
        <f>SUM(R262:R268)</f>
        <v>5.634962905281869</v>
      </c>
      <c r="S269" s="214"/>
      <c r="T269" s="214"/>
      <c r="U269" s="217"/>
      <c r="V269" s="217"/>
    </row>
    <row r="270" spans="1:22" ht="38.25">
      <c r="A270" s="367" t="s">
        <v>434</v>
      </c>
      <c r="B270" s="357"/>
      <c r="C270" s="358"/>
      <c r="D270" s="359"/>
      <c r="E270" s="360"/>
      <c r="F270" s="361"/>
      <c r="G270" s="361"/>
      <c r="H270" s="361"/>
      <c r="I270" s="362"/>
      <c r="J270" s="362"/>
      <c r="K270" s="357"/>
      <c r="L270" s="357"/>
      <c r="M270" s="357"/>
      <c r="N270" s="357"/>
      <c r="O270" s="363"/>
      <c r="P270" s="364"/>
      <c r="Q270" s="364"/>
      <c r="R270" s="364"/>
      <c r="S270" s="365"/>
      <c r="T270" s="365"/>
      <c r="U270" s="366"/>
      <c r="V270" s="357"/>
    </row>
    <row r="271" spans="1:22" ht="25.5">
      <c r="A271" s="193" t="s">
        <v>33</v>
      </c>
      <c r="B271" s="199"/>
      <c r="C271" s="193" t="s">
        <v>357</v>
      </c>
      <c r="D271" s="195">
        <v>36582</v>
      </c>
      <c r="E271" s="196" t="s">
        <v>32</v>
      </c>
      <c r="F271" s="197">
        <v>0.4166666666666667</v>
      </c>
      <c r="G271" s="198">
        <v>0.020833333333333332</v>
      </c>
      <c r="H271" s="198">
        <f>SUM(F271:G271)</f>
        <v>0.4375</v>
      </c>
      <c r="I271" s="199"/>
      <c r="J271" s="199"/>
      <c r="K271" s="199">
        <v>196</v>
      </c>
      <c r="L271" s="199"/>
      <c r="M271" s="199"/>
      <c r="N271" s="199"/>
      <c r="O271" s="200">
        <f>K271*2864/2.5/1000000</f>
        <v>0.2245376</v>
      </c>
      <c r="P271" s="201">
        <f>O271*126.31/3600</f>
        <v>0.007878151182222223</v>
      </c>
      <c r="Q271" s="201">
        <f>O271*63/3600</f>
        <v>0.0039294080000000006</v>
      </c>
      <c r="R271" s="201">
        <f>O271*42.139/3600</f>
        <v>0.002628274979555556</v>
      </c>
      <c r="S271" s="196" t="s">
        <v>150</v>
      </c>
      <c r="T271" s="196" t="s">
        <v>182</v>
      </c>
      <c r="U271" s="193" t="s">
        <v>34</v>
      </c>
      <c r="V271" s="199" t="s">
        <v>43</v>
      </c>
    </row>
    <row r="272" spans="1:22" ht="12.75">
      <c r="A272" s="174" t="s">
        <v>261</v>
      </c>
      <c r="B272" s="175">
        <v>15</v>
      </c>
      <c r="C272" s="176"/>
      <c r="D272" s="177">
        <v>36582</v>
      </c>
      <c r="E272" s="178" t="s">
        <v>32</v>
      </c>
      <c r="F272" s="179">
        <v>0.5104166666666666</v>
      </c>
      <c r="G272" s="179">
        <v>0.2847222222222222</v>
      </c>
      <c r="H272" s="180">
        <f>SUM(F272:G272)</f>
        <v>0.7951388888888888</v>
      </c>
      <c r="I272" s="176"/>
      <c r="J272" s="176"/>
      <c r="K272" s="176"/>
      <c r="L272" s="176"/>
      <c r="M272" s="176"/>
      <c r="N272" s="176"/>
      <c r="O272" s="181">
        <f>SUM(O270:O271)</f>
        <v>0.2245376</v>
      </c>
      <c r="P272" s="181">
        <f>SUM(P270:P271)</f>
        <v>0.007878151182222223</v>
      </c>
      <c r="Q272" s="181">
        <f>SUM(Q270:Q271)</f>
        <v>0.0039294080000000006</v>
      </c>
      <c r="R272" s="181">
        <f>SUM(R270:R271)</f>
        <v>0.002628274979555556</v>
      </c>
      <c r="S272" s="178"/>
      <c r="T272" s="178"/>
      <c r="U272" s="182"/>
      <c r="V272" s="182"/>
    </row>
    <row r="273" spans="1:22" ht="25.5">
      <c r="A273" s="193" t="s">
        <v>36</v>
      </c>
      <c r="B273" s="199"/>
      <c r="C273" s="193" t="s">
        <v>190</v>
      </c>
      <c r="D273" s="195">
        <v>36583</v>
      </c>
      <c r="E273" s="196" t="s">
        <v>35</v>
      </c>
      <c r="F273" s="197">
        <v>0.020833333333333332</v>
      </c>
      <c r="G273" s="197">
        <v>0.25</v>
      </c>
      <c r="H273" s="198">
        <f>SUM(F273:G273)</f>
        <v>0.2708333333333333</v>
      </c>
      <c r="I273" s="199"/>
      <c r="J273" s="199"/>
      <c r="K273" s="199">
        <v>2808</v>
      </c>
      <c r="L273" s="199"/>
      <c r="M273" s="199"/>
      <c r="N273" s="199"/>
      <c r="O273" s="200">
        <f>K273*2864/2.5/1000000</f>
        <v>3.2168447999999996</v>
      </c>
      <c r="P273" s="201">
        <f>O273*126.31/3600</f>
        <v>0.11286657407999999</v>
      </c>
      <c r="Q273" s="201">
        <f>O273*1000/17.6/3600</f>
        <v>0.050770909090909075</v>
      </c>
      <c r="R273" s="201">
        <f>O273*42.139/3600</f>
        <v>0.037654061951999995</v>
      </c>
      <c r="S273" s="196" t="s">
        <v>150</v>
      </c>
      <c r="T273" s="196" t="s">
        <v>182</v>
      </c>
      <c r="U273" s="193" t="s">
        <v>37</v>
      </c>
      <c r="V273" s="199" t="s">
        <v>43</v>
      </c>
    </row>
    <row r="274" spans="1:22" ht="25.5">
      <c r="A274" s="193" t="s">
        <v>38</v>
      </c>
      <c r="B274" s="199"/>
      <c r="C274" s="193" t="s">
        <v>357</v>
      </c>
      <c r="D274" s="195">
        <v>36583</v>
      </c>
      <c r="E274" s="196" t="s">
        <v>35</v>
      </c>
      <c r="F274" s="197">
        <v>0.5208333333333334</v>
      </c>
      <c r="G274" s="198">
        <v>0.020833333333333332</v>
      </c>
      <c r="H274" s="198">
        <f>SUM(F274:G274)</f>
        <v>0.5416666666666667</v>
      </c>
      <c r="I274" s="199"/>
      <c r="J274" s="199"/>
      <c r="K274" s="199">
        <v>196</v>
      </c>
      <c r="L274" s="199"/>
      <c r="M274" s="199"/>
      <c r="N274" s="199"/>
      <c r="O274" s="200">
        <f>K274*2864/2.5/1000000</f>
        <v>0.2245376</v>
      </c>
      <c r="P274" s="201">
        <f>O274*126.31/3600</f>
        <v>0.007878151182222223</v>
      </c>
      <c r="Q274" s="201">
        <f>O274*63/3600</f>
        <v>0.0039294080000000006</v>
      </c>
      <c r="R274" s="201">
        <f>O274*42.139/3600</f>
        <v>0.002628274979555556</v>
      </c>
      <c r="S274" s="196" t="s">
        <v>150</v>
      </c>
      <c r="T274" s="196" t="s">
        <v>182</v>
      </c>
      <c r="U274" s="193" t="s">
        <v>39</v>
      </c>
      <c r="V274" s="199" t="s">
        <v>43</v>
      </c>
    </row>
    <row r="275" spans="1:22" ht="13.5" thickBot="1">
      <c r="A275" s="232" t="s">
        <v>67</v>
      </c>
      <c r="B275" s="233">
        <v>43</v>
      </c>
      <c r="C275" s="234"/>
      <c r="D275" s="235">
        <v>36583</v>
      </c>
      <c r="E275" s="236" t="s">
        <v>35</v>
      </c>
      <c r="F275" s="237">
        <v>0.7048611111111112</v>
      </c>
      <c r="G275" s="237">
        <v>0.3020833333333333</v>
      </c>
      <c r="H275" s="238">
        <f>SUM(F275:G275)</f>
        <v>1.0069444444444444</v>
      </c>
      <c r="I275" s="234"/>
      <c r="J275" s="234"/>
      <c r="K275" s="234"/>
      <c r="L275" s="234"/>
      <c r="M275" s="234"/>
      <c r="N275" s="234"/>
      <c r="O275" s="239">
        <f>SUM(O273:O274)</f>
        <v>3.4413823999999997</v>
      </c>
      <c r="P275" s="239">
        <f>SUM(P273:P274)</f>
        <v>0.12074472526222221</v>
      </c>
      <c r="Q275" s="239">
        <f>SUM(Q273:Q274)</f>
        <v>0.05470031709090908</v>
      </c>
      <c r="R275" s="239">
        <f>SUM(R273:R274)</f>
        <v>0.04028233693155555</v>
      </c>
      <c r="S275" s="236"/>
      <c r="T275" s="236"/>
      <c r="U275" s="240"/>
      <c r="V275" s="240"/>
    </row>
    <row r="276" ht="13.5" thickBot="1"/>
    <row r="277" spans="1:22" ht="12.75">
      <c r="A277" s="382" t="s">
        <v>70</v>
      </c>
      <c r="B277" s="383"/>
      <c r="C277" s="384"/>
      <c r="D277" s="385"/>
      <c r="E277" s="386"/>
      <c r="F277" s="387"/>
      <c r="G277" s="387"/>
      <c r="H277" s="388"/>
      <c r="I277" s="389"/>
      <c r="J277" s="390"/>
      <c r="K277" s="391">
        <f>SUM(K180:K267)-K264-K253-K247-K243-K239-K230-K227-K221-K215-K212-K205-K200-K196-K194-K192-K187</f>
        <v>2031</v>
      </c>
      <c r="L277" s="389"/>
      <c r="M277" s="389"/>
      <c r="N277" s="389"/>
      <c r="O277" s="392"/>
      <c r="P277" s="392"/>
      <c r="Q277" s="392"/>
      <c r="R277" s="392"/>
      <c r="S277" s="393"/>
      <c r="T277" s="394"/>
      <c r="U277" s="395"/>
      <c r="V277" s="384"/>
    </row>
    <row r="278" spans="1:22" ht="13.5" thickBot="1">
      <c r="A278" s="396" t="s">
        <v>71</v>
      </c>
      <c r="B278" s="397"/>
      <c r="C278" s="153"/>
      <c r="D278" s="154"/>
      <c r="E278" s="155"/>
      <c r="F278" s="398"/>
      <c r="G278" s="398"/>
      <c r="H278" s="120"/>
      <c r="I278" s="399"/>
      <c r="J278" s="400"/>
      <c r="K278" s="401">
        <f>SUM(K268:K274)+K264+K253+K247+K243+K239+K230+K227+K221+K215+K212+K205+K200+K196+K194+K192+K187</f>
        <v>17078</v>
      </c>
      <c r="L278" s="399"/>
      <c r="M278" s="399"/>
      <c r="N278" s="399"/>
      <c r="O278" s="402"/>
      <c r="P278" s="402"/>
      <c r="Q278" s="402"/>
      <c r="R278" s="402"/>
      <c r="S278" s="137"/>
      <c r="T278" s="403"/>
      <c r="U278" s="404"/>
      <c r="V278" s="153"/>
    </row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</sheetData>
  <printOptions gridLines="1"/>
  <pageMargins left="0.43" right="0.43" top="1" bottom="0.79" header="0.5" footer="0.5"/>
  <pageSetup fitToHeight="7" horizontalDpi="300" verticalDpi="300" orientation="landscape" scale="70" r:id="rId1"/>
  <headerFooter alignWithMargins="0">
    <oddHeader>&amp;LM. Bell, C.A. Peterson&amp;CMSI/NIS 
Approach/OIM/Post Insertion Timeline&amp;R&amp;D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Gierasch</dc:creator>
  <cp:keywords/>
  <dc:description/>
  <cp:lastModifiedBy>Cheryl Musselman</cp:lastModifiedBy>
  <cp:lastPrinted>2000-02-25T18:58:42Z</cp:lastPrinted>
  <dcterms:created xsi:type="dcterms:W3CDTF">1998-11-11T12:37:38Z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