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795" windowWidth="15480" windowHeight="11580" activeTab="0"/>
  </bookViews>
  <sheets>
    <sheet name="apprtl" sheetId="1" r:id="rId1"/>
    <sheet name="Sheet1" sheetId="2" r:id="rId2"/>
  </sheets>
  <definedNames>
    <definedName name="HTML_CodePage" hidden="1">1252</definedName>
    <definedName name="HTML_Control" hidden="1">{"'apprtl'!$A$1:$M$21"}</definedName>
    <definedName name="HTML_Description" hidden="1">""</definedName>
    <definedName name="HTML_Email" hidden="1">""</definedName>
    <definedName name="HTML_Header" hidden="1">"apprtl"</definedName>
    <definedName name="HTML_LastUpdate" hidden="1">"21/10/98"</definedName>
    <definedName name="HTML_LineAfter" hidden="1">FALSE</definedName>
    <definedName name="HTML_LineBefore" hidden="1">TRUE</definedName>
    <definedName name="HTML_Name" hidden="1">"Maureen Bell"</definedName>
    <definedName name="HTML_OBDlg2" hidden="1">TRUE</definedName>
    <definedName name="HTML_OBDlg4" hidden="1">TRUE</definedName>
    <definedName name="HTML_OS" hidden="1">1</definedName>
    <definedName name="HTML_PathFileMac" hidden="1">"Macintosh HD:NEAR:November.html"</definedName>
    <definedName name="HTML_Title" hidden="1">"TIMELINE1"</definedName>
    <definedName name="_xlnm.Print_Area" localSheetId="0">'apprtl'!$A$1:$V$344</definedName>
    <definedName name="_xlnm.Print_Titles" localSheetId="0">'apprtl'!$1:$1</definedName>
  </definedNames>
  <calcPr fullCalcOnLoad="1"/>
</workbook>
</file>

<file path=xl/sharedStrings.xml><?xml version="1.0" encoding="utf-8"?>
<sst xmlns="http://schemas.openxmlformats.org/spreadsheetml/2006/main" count="2076" uniqueCount="419">
  <si>
    <t>MSI_Starcal_93</t>
  </si>
  <si>
    <t>Flyover 18</t>
  </si>
  <si>
    <t>NIS_Flyover 18</t>
  </si>
  <si>
    <t>OPN_94b_KM1</t>
  </si>
  <si>
    <t>mp 63-71 (16sp + 2r +4d) calint=19;        58 exec</t>
  </si>
  <si>
    <t>mp 72-73 (2sp + 0r +0d) calint=7;        900 exec</t>
  </si>
  <si>
    <t>mp 63-87 (16sp + 2r +4d) calint=20;        52 exec</t>
  </si>
  <si>
    <t>one filter 4 image every 40 seconds during NLR nadir point (TABLE5+FAST)</t>
  </si>
  <si>
    <t>filter 4  4x2 mosaic every 7 deg (TABLE5+FAST)</t>
  </si>
  <si>
    <t>point to asteroid body fixed position and take one filter 4 image every 49 seconds (TABLE5+FAST)</t>
  </si>
  <si>
    <t>one filter 4 image every 60 seconds during NLR nadir point (TABLE6+FAST)</t>
  </si>
  <si>
    <t>one filter 4 image every 40 seconds (TABLE6+FAST)</t>
  </si>
  <si>
    <t>one filter 4 image every 60 seconds (TABLE6+FAST)</t>
  </si>
  <si>
    <t>Totals spectra for 200 km</t>
  </si>
  <si>
    <t>Total images for 200 km</t>
  </si>
  <si>
    <t xml:space="preserve"> Opnav 60d H</t>
  </si>
  <si>
    <t>1-7,1</t>
  </si>
  <si>
    <t>78</t>
  </si>
  <si>
    <t>Star Calibration 078</t>
  </si>
  <si>
    <t>3x3 mosaic in filter 4 (TABLE5+FAST)</t>
  </si>
  <si>
    <t>4x3 mosaic in filter 4 (TABLE5+FAST)</t>
  </si>
  <si>
    <t>3x2 in filter 4 every15 deg for 1 rotation</t>
  </si>
  <si>
    <t>Opnav 68a N3</t>
  </si>
  <si>
    <t>Opnav 68b H3</t>
  </si>
  <si>
    <t>Opnav 68c M3</t>
  </si>
  <si>
    <t>Opnav 69a H3</t>
  </si>
  <si>
    <t>Opnav 69b L3</t>
  </si>
  <si>
    <t>3x4 mosaic in filter 4 (TABLE5+FAST)</t>
  </si>
  <si>
    <t>Opnav 69c M3</t>
  </si>
  <si>
    <t>Opnav 69d Q3</t>
  </si>
  <si>
    <t>3x5 mosaic in filter 4 (TABLE5+FAST)</t>
  </si>
  <si>
    <t>2x2 with 8 filters at every position</t>
  </si>
  <si>
    <t xml:space="preserve">2x2 with 8 filters at every position </t>
  </si>
  <si>
    <t>Opnav 70b H3</t>
  </si>
  <si>
    <t>Opnav 83b H4</t>
  </si>
  <si>
    <t>70 Meter (26.4 kb/s)</t>
  </si>
  <si>
    <t>4x4 mosaic in filter 4 (TABLE5+FAST)</t>
  </si>
  <si>
    <t>undefined</t>
  </si>
  <si>
    <t>point to asteroid body fixed position and take one filter 4 image every 18 seconds (TABLE5+FAST)</t>
  </si>
  <si>
    <t>mp 72 - 76  (16sp + 2r + 4d) cal every 7th mp</t>
  </si>
  <si>
    <t>one filter 4 image every 27 seconds (TABLE5+FAST)</t>
  </si>
  <si>
    <t>mp 72  (3sp + 0r + 0d) cal every 7th</t>
  </si>
  <si>
    <t>NIS_DailyGlobal_063: 4x7 mosaics during above slew</t>
  </si>
  <si>
    <t>Star Calibration 063</t>
  </si>
  <si>
    <t xml:space="preserve"> Opnav 63b KL1</t>
  </si>
  <si>
    <t xml:space="preserve"> Opnav 63c KL1</t>
  </si>
  <si>
    <t xml:space="preserve"> Opnav 63d KL1</t>
  </si>
  <si>
    <t>064</t>
  </si>
  <si>
    <t xml:space="preserve"> Opnav 64a KL1</t>
  </si>
  <si>
    <t xml:space="preserve"> Opnav 64b KL1</t>
  </si>
  <si>
    <t xml:space="preserve"> Opnav 64c KL1</t>
  </si>
  <si>
    <t xml:space="preserve"> Opnav 65a KL3</t>
  </si>
  <si>
    <t>065</t>
  </si>
  <si>
    <t>Daily Global 065</t>
  </si>
  <si>
    <t>DailyGlobal_065: 4x4 in filter 4 (TABLE 5 + FAST)</t>
  </si>
  <si>
    <t>NIS Daily Global 065</t>
  </si>
  <si>
    <t>NIS_DailyGlobal_065: 4x7 mosaics during above slew</t>
  </si>
  <si>
    <t>Star Calibration 065</t>
  </si>
  <si>
    <t xml:space="preserve"> Opnav 65b KL3</t>
  </si>
  <si>
    <t xml:space="preserve"> Opnav 65c KL3</t>
  </si>
  <si>
    <t xml:space="preserve"> Opnav 66a KL3</t>
  </si>
  <si>
    <t>066</t>
  </si>
  <si>
    <t>South Globals</t>
  </si>
  <si>
    <t>SouthGlobals: 3x5,3x4,4x3,4x4, or 3x5 every 24 deg for 1.1 Eros rotation.  One filter, autoexp. (FAST)</t>
  </si>
  <si>
    <t>MSI observations were lost due to DPU freeze.</t>
  </si>
  <si>
    <t>74/19:30</t>
  </si>
  <si>
    <t>39:30</t>
  </si>
  <si>
    <t>Star Calibration 070</t>
  </si>
  <si>
    <t>MSI shutdown again after Starcal until next high gain track.</t>
  </si>
  <si>
    <t>High North  2x2_B6</t>
  </si>
  <si>
    <t>High North  2x2_B7</t>
  </si>
  <si>
    <t>High North  2x2_B8</t>
  </si>
  <si>
    <t>High North  2x2_B9</t>
  </si>
  <si>
    <t>Opnav 80a Q2</t>
  </si>
  <si>
    <t>3x3 mosaic in filter 4 (TABLE 5 + FAST)</t>
  </si>
  <si>
    <t>70m  track (26.4 kb/s)</t>
  </si>
  <si>
    <t>one filter 4 image every 30 seconds (TABLE6+FAST)</t>
  </si>
  <si>
    <t>Flyover 6</t>
  </si>
  <si>
    <t>Star Calibration 081</t>
  </si>
  <si>
    <t>Opnav 81b H4</t>
  </si>
  <si>
    <t>Opnav 81c Q4</t>
  </si>
  <si>
    <t>Flyover 7</t>
  </si>
  <si>
    <t>Star Calibration 082</t>
  </si>
  <si>
    <t>82</t>
  </si>
  <si>
    <t>Opnav 82a M1</t>
  </si>
  <si>
    <t>Feature Trk 4</t>
  </si>
  <si>
    <t>Opnav 82b M1</t>
  </si>
  <si>
    <t>Opnav 82c H4</t>
  </si>
  <si>
    <t>Star Calibration 083</t>
  </si>
  <si>
    <t>83</t>
  </si>
  <si>
    <t>Equatorial Lon 3</t>
  </si>
  <si>
    <t>Opnav 84a KM1</t>
  </si>
  <si>
    <t>84</t>
  </si>
  <si>
    <t>Opnav 84b KM1</t>
  </si>
  <si>
    <t>Opnav 85a KL1</t>
  </si>
  <si>
    <t>85</t>
  </si>
  <si>
    <t>Feature Trk 5</t>
  </si>
  <si>
    <t>point to asteroid body fixed position and take one filter 4 image every 25 seconds (TABLE6+FAST)</t>
  </si>
  <si>
    <t>Feature Trk 6</t>
  </si>
  <si>
    <t>point to asteroid body fixed position and take one filter 4 image every 20 seconds (TABLE6+FAST)</t>
  </si>
  <si>
    <t xml:space="preserve"> Opnav 60b H</t>
  </si>
  <si>
    <t>Multispectral Rotation 4</t>
  </si>
  <si>
    <t xml:space="preserve"> </t>
  </si>
  <si>
    <t>1-7</t>
  </si>
  <si>
    <t>Opnav 72c M2</t>
  </si>
  <si>
    <t>Opnav 72d M2</t>
  </si>
  <si>
    <t>Opnav 73a M3</t>
  </si>
  <si>
    <t>done</t>
  </si>
  <si>
    <t xml:space="preserve"> Opnav 61a H</t>
  </si>
  <si>
    <t>061</t>
  </si>
  <si>
    <t>Star Calibration 061</t>
  </si>
  <si>
    <t>Daily Global 061</t>
  </si>
  <si>
    <t>DailyGlobal_061: 4x4 in filter 4 (TABLE 5 + FAST)</t>
  </si>
  <si>
    <t>Star Calibration 079</t>
  </si>
  <si>
    <t>79</t>
  </si>
  <si>
    <t>80</t>
  </si>
  <si>
    <t>Star Calibration 080</t>
  </si>
  <si>
    <t xml:space="preserve"> Opnav 61b H</t>
  </si>
  <si>
    <t xml:space="preserve"> Opnav 61c H</t>
  </si>
  <si>
    <t>34 m track (8.8 kb/s)</t>
  </si>
  <si>
    <t>FeatureTrk2</t>
  </si>
  <si>
    <t>Opnav 75b KL3</t>
  </si>
  <si>
    <t>Opnav 75c KL3</t>
  </si>
  <si>
    <t xml:space="preserve">Mid North  2x2_B3 (16N) </t>
  </si>
  <si>
    <t>Mid North  2x2_B4 (16N)</t>
  </si>
  <si>
    <t>77</t>
  </si>
  <si>
    <t>Star Calibration 077</t>
  </si>
  <si>
    <t>8 filters every 1045 seconds for 1 rotation (16 sets)</t>
  </si>
  <si>
    <t>Totals for the week for MSI</t>
  </si>
  <si>
    <t>NIS_Flyover12</t>
  </si>
  <si>
    <t>NIS_Flyover13</t>
  </si>
  <si>
    <t>MSI Starcal_87</t>
  </si>
  <si>
    <t>MSI Starcal_88</t>
  </si>
  <si>
    <t>MSI Starcal_89</t>
  </si>
  <si>
    <t>MSI Starcal_90</t>
  </si>
  <si>
    <t>NIS_Flyover 14</t>
  </si>
  <si>
    <t>NIS_FeatureTrk7</t>
  </si>
  <si>
    <t>NIS_FeatureTrk8</t>
  </si>
  <si>
    <t>NIS_Flyover15</t>
  </si>
  <si>
    <t>NIS_NorthPolarLon3</t>
  </si>
  <si>
    <t>MSI_Starcal_91</t>
  </si>
  <si>
    <t xml:space="preserve">NIS_Flyover 16 </t>
  </si>
  <si>
    <t>NIS_Flyover 17</t>
  </si>
  <si>
    <t>MSI_Starcal_92</t>
  </si>
  <si>
    <t>OCM 4</t>
  </si>
  <si>
    <t>93</t>
  </si>
  <si>
    <t>OPN_93a_KM1_rev1</t>
  </si>
  <si>
    <t>Equatorial_8x1_D4      0(S)</t>
  </si>
  <si>
    <t>Equatorial_8x1_D1      0(S)</t>
  </si>
  <si>
    <t>Equatorial_6x1_D2      0(S)</t>
  </si>
  <si>
    <t>Equatorial_7x1_D3      0(S)</t>
  </si>
  <si>
    <t xml:space="preserve"> Opnav 59b KF</t>
  </si>
  <si>
    <t>Star Calibration 059</t>
  </si>
  <si>
    <t>Daily Global 059</t>
  </si>
  <si>
    <t>DailyGlobal_059: 4x4 in filter 4 (TABLE 5 + FAST)</t>
  </si>
  <si>
    <t xml:space="preserve"> Opnav 59c KF</t>
  </si>
  <si>
    <t>Daily Global 060</t>
  </si>
  <si>
    <t>060</t>
  </si>
  <si>
    <t>DailyGlobal_060: 4x4 in filter 4 (TABLE 5 + FAST)</t>
  </si>
  <si>
    <t>OPN_92a_KM1</t>
  </si>
  <si>
    <t>OPN_92b_KM1</t>
  </si>
  <si>
    <t>OPN_94a_KM1</t>
  </si>
  <si>
    <t>00087</t>
  </si>
  <si>
    <t>4x2 in filter 4 every10 deg for 1 rotation</t>
  </si>
  <si>
    <t>NIS Flyover 4</t>
  </si>
  <si>
    <t>mp 63-81   16sp + 2r + 4dark</t>
  </si>
  <si>
    <t>NIS NorthPolarLon 2</t>
  </si>
  <si>
    <t>MSI_CanPoint: Point to Canopus take 4 clear, 4 in filter 4</t>
  </si>
  <si>
    <t xml:space="preserve"> Opnav 66b KL3</t>
  </si>
  <si>
    <t>Star Calibration 066</t>
  </si>
  <si>
    <t>Daily Global 066</t>
  </si>
  <si>
    <t>DailyGlobal_066: 4x4 in filter 4 (TABLE 5 + FAST)</t>
  </si>
  <si>
    <t>NIS Daily Global 066</t>
  </si>
  <si>
    <t>one filter 4 image every 68 seconds for 95 im and 46 seconds for 65 im. NLR ride along (TABLE5+FAST)</t>
  </si>
  <si>
    <t>Star Calibration 060</t>
  </si>
  <si>
    <t xml:space="preserve"> Opnav 60a H</t>
  </si>
  <si>
    <t>3x1 with 4 filters at every position</t>
  </si>
  <si>
    <t>6x1 with 4 filters at every position</t>
  </si>
  <si>
    <t>2x2 with 4 filters at every position</t>
  </si>
  <si>
    <t xml:space="preserve">2x2 with 4 filters at every position </t>
  </si>
  <si>
    <t>1x5 with 4 filters at every position</t>
  </si>
  <si>
    <t>Opnav 77b M3</t>
  </si>
  <si>
    <t>Equatorial  4x1 C1 (0S)</t>
  </si>
  <si>
    <t>Equatorial 6x1 C3  (0S)</t>
  </si>
  <si>
    <t>Equatorial  9x1 C4  (0S)</t>
  </si>
  <si>
    <t>one filter 4 image every 66 seconds (TABLE6+FAST)</t>
  </si>
  <si>
    <t>NIS Flyover 3</t>
  </si>
  <si>
    <t>34 meter (8.8 kb/s)</t>
  </si>
  <si>
    <t>mp 67 - 85    16sp + 2r + 4dark</t>
  </si>
  <si>
    <t>point to asteroid body fix position and take 1 filter 4 image every 39 seconds (TABLE6+FAST)</t>
  </si>
  <si>
    <t>NIS Feature Trk 1</t>
  </si>
  <si>
    <t>NIS Feature Trk 2</t>
  </si>
  <si>
    <t>2x4 in filter 4 every12 deg for 1 rotation</t>
  </si>
  <si>
    <t>NIS SouthPolarLon 1</t>
  </si>
  <si>
    <t xml:space="preserve">SouthPolarLon1 (35S) </t>
  </si>
  <si>
    <t>mp 72 - 78   4sp + 2r + 1dark</t>
  </si>
  <si>
    <t>NIS Feature Trk 3</t>
  </si>
  <si>
    <t>Equatorial 8x1 C2 (0S)</t>
  </si>
  <si>
    <t>8x1 with 4 filters at every position</t>
  </si>
  <si>
    <t>Equatorial  9x1 C5  (0S)</t>
  </si>
  <si>
    <t>Flyover 4</t>
  </si>
  <si>
    <t>Mom_Dump</t>
  </si>
  <si>
    <t>87</t>
  </si>
  <si>
    <t>Canopus Point</t>
  </si>
  <si>
    <t xml:space="preserve"> Opnav 63e KL1</t>
  </si>
  <si>
    <t xml:space="preserve">2x2 with 7 filters at every position </t>
  </si>
  <si>
    <t>70</t>
  </si>
  <si>
    <t>Star Calibration 069</t>
  </si>
  <si>
    <t># imgs  or       # spec</t>
  </si>
  <si>
    <t>Seq.     IDs</t>
  </si>
  <si>
    <t>Target</t>
  </si>
  <si>
    <t>Eros</t>
  </si>
  <si>
    <t>Clean (FAST)</t>
  </si>
  <si>
    <t>NPolarLat1</t>
  </si>
  <si>
    <t>NIS NPolarLat1</t>
  </si>
  <si>
    <t>0,4</t>
  </si>
  <si>
    <t>DSN</t>
  </si>
  <si>
    <t xml:space="preserve">Observation </t>
  </si>
  <si>
    <t>Strt (UT)</t>
  </si>
  <si>
    <t>End (UT)</t>
  </si>
  <si>
    <t>Priority</t>
  </si>
  <si>
    <t>lost 45 images from this week</t>
  </si>
  <si>
    <t>MSI</t>
  </si>
  <si>
    <t>00059</t>
  </si>
  <si>
    <t>P/B (hrs @8.8 kb/s)</t>
  </si>
  <si>
    <t>Opnav 66d N3</t>
  </si>
  <si>
    <t>Opnav 67a N3</t>
  </si>
  <si>
    <t>Opnav 67b H3</t>
  </si>
  <si>
    <t>Opnav 67b M3</t>
  </si>
  <si>
    <t xml:space="preserve"> Opnav 66c KL3</t>
  </si>
  <si>
    <t>Orbit Correction Maneuver 2</t>
  </si>
  <si>
    <t>High North 2x2_B2  (35N)</t>
  </si>
  <si>
    <t>High North 2x2_B3  (35N)</t>
  </si>
  <si>
    <t>High North 2x2_B4  (35N)</t>
  </si>
  <si>
    <t>High North 2x2_B5  (35N)</t>
  </si>
  <si>
    <t>NorthPolarLon1 (37N)</t>
  </si>
  <si>
    <t>Opnav 71a N2</t>
  </si>
  <si>
    <t>Opnav 71b N2</t>
  </si>
  <si>
    <t>High North 2x2_B6 (35N0</t>
  </si>
  <si>
    <t>Opnav 72a M3</t>
  </si>
  <si>
    <t xml:space="preserve">NorthEquatorialLon1 (20N) </t>
  </si>
  <si>
    <t>Opnav 72b KF</t>
  </si>
  <si>
    <t>2x3 mosaic in filter 4 (TABLE5+FAST)</t>
  </si>
  <si>
    <t>00073</t>
  </si>
  <si>
    <t>74</t>
  </si>
  <si>
    <t>75</t>
  </si>
  <si>
    <t>Star Calibration 075</t>
  </si>
  <si>
    <t>NLR</t>
  </si>
  <si>
    <t>Flyover 8_rev 1</t>
  </si>
  <si>
    <t>Opnav 83a KH1</t>
  </si>
  <si>
    <t>South Equatorial Lon 1_sun</t>
  </si>
  <si>
    <t>2x3 in filter 4 every15 deg for 1 rotation</t>
  </si>
  <si>
    <t>Flyover 1</t>
  </si>
  <si>
    <t>NIS NPolarLon1</t>
  </si>
  <si>
    <t>Star Calibration 071</t>
  </si>
  <si>
    <t>week</t>
  </si>
  <si>
    <t>Description</t>
  </si>
  <si>
    <t>Pr'ty</t>
  </si>
  <si>
    <t>Bits/ pixel</t>
  </si>
  <si>
    <t>Filters</t>
  </si>
  <si>
    <t>Est.  comp.</t>
  </si>
  <si>
    <t>Mbits</t>
  </si>
  <si>
    <t>00066</t>
  </si>
  <si>
    <t>NIS</t>
  </si>
  <si>
    <t>Observation Name</t>
  </si>
  <si>
    <t>End, UT</t>
  </si>
  <si>
    <t xml:space="preserve">High-gain pass DSS Sta. </t>
  </si>
  <si>
    <t>Ownr</t>
  </si>
  <si>
    <t>Date</t>
  </si>
  <si>
    <t>DOY</t>
  </si>
  <si>
    <t>Strt, UT</t>
  </si>
  <si>
    <t xml:space="preserve"> Dur</t>
  </si>
  <si>
    <t>P/B (hrs @26.4 kb/s)</t>
  </si>
  <si>
    <t>73</t>
  </si>
  <si>
    <t>72</t>
  </si>
  <si>
    <t>71</t>
  </si>
  <si>
    <t>66</t>
  </si>
  <si>
    <t>67</t>
  </si>
  <si>
    <t>68</t>
  </si>
  <si>
    <t>69</t>
  </si>
  <si>
    <t>P/B (hrs @17.6 kb/s)</t>
  </si>
  <si>
    <t>Status</t>
  </si>
  <si>
    <t>NAV</t>
  </si>
  <si>
    <t>76</t>
  </si>
  <si>
    <t>Star Calibration 076</t>
  </si>
  <si>
    <t>MSI_MSRot_4: 2x2; seven filters every 70 deg of rot. for 1.1 Eros rotation.  Auto exp. (Uncompressed)</t>
  </si>
  <si>
    <t xml:space="preserve"> Opnav 60c H</t>
  </si>
  <si>
    <t>T</t>
  </si>
  <si>
    <t>NIS_DailyGlobal_066: 4x7 mosaics during above slew</t>
  </si>
  <si>
    <t>3x4 mosaic in filter 4 (TABLE 5 + FAST)</t>
  </si>
  <si>
    <t>Global Morph 3x3_2</t>
  </si>
  <si>
    <t>NAV/MSI</t>
  </si>
  <si>
    <t>062</t>
  </si>
  <si>
    <t>MSI_GM_3x3_2: 3x3 every 15 deg for 1.1 Eros rotation.  One filter, autoexp. (FAST)</t>
  </si>
  <si>
    <t xml:space="preserve"> Opnav 62b KL1</t>
  </si>
  <si>
    <t>Daily Global 062</t>
  </si>
  <si>
    <t>DailyGlobal_062: 4x4 in filter 4 (TABLE 5 + FAST)</t>
  </si>
  <si>
    <t>Star Calibration 062</t>
  </si>
  <si>
    <t xml:space="preserve"> Opnav 62c KL1</t>
  </si>
  <si>
    <t xml:space="preserve"> Opnav 62d KL1</t>
  </si>
  <si>
    <t xml:space="preserve"> Opnav 63a KL1</t>
  </si>
  <si>
    <t>063</t>
  </si>
  <si>
    <t>Daily Global 063</t>
  </si>
  <si>
    <t>DailyGlobal_063: 4x4 in filter 4 (TABLE 5 + FAST)</t>
  </si>
  <si>
    <t>NIS Daily Global 063</t>
  </si>
  <si>
    <t>Point 90 deg off-NADIR, 4 seq 29, return (FAST)</t>
  </si>
  <si>
    <t>Canopus Calibration 6</t>
  </si>
  <si>
    <t>3,4, 5,6,11, 12, 23</t>
  </si>
  <si>
    <t>Canopus</t>
  </si>
  <si>
    <t>Star Calibration 067</t>
  </si>
  <si>
    <t>Star Calibration 068</t>
  </si>
  <si>
    <t>Mid North  3x2_C4</t>
  </si>
  <si>
    <t>NIS Cal target O3</t>
  </si>
  <si>
    <t>Standard NIS_CAL</t>
  </si>
  <si>
    <t>Opnav 75a M3</t>
  </si>
  <si>
    <t>OPN_89a_KH1</t>
  </si>
  <si>
    <t>OPN_89b_KM3</t>
  </si>
  <si>
    <t>FeatureTrk7</t>
  </si>
  <si>
    <t>FeatureTrk8          +35(N)</t>
  </si>
  <si>
    <t>OPN_90a_KL1</t>
  </si>
  <si>
    <t>OPN_90b_Q1</t>
  </si>
  <si>
    <t>Flyover15</t>
  </si>
  <si>
    <t>NorthPolarLon3  +35(S)</t>
  </si>
  <si>
    <t>OPN_91a_Q1</t>
  </si>
  <si>
    <t>OPN_91b_H1</t>
  </si>
  <si>
    <t>Flyover 16           +35(S)</t>
  </si>
  <si>
    <t>Flyover 17</t>
  </si>
  <si>
    <t>Opnav 81a KL3</t>
  </si>
  <si>
    <t>81</t>
  </si>
  <si>
    <t>NPolarLat2</t>
  </si>
  <si>
    <t>4 filters every 1045 seconds for 1 rotation (9+13 sets)</t>
  </si>
  <si>
    <t>00080</t>
  </si>
  <si>
    <t>mp 66 - 90  (16sp + 2r + 4d) cal at 90</t>
  </si>
  <si>
    <t>Flyover 5</t>
  </si>
  <si>
    <t>Opnav 76a Q3</t>
  </si>
  <si>
    <t>Opnav 76b M3</t>
  </si>
  <si>
    <t>FeatureTrk3</t>
  </si>
  <si>
    <t>Opnav 77a H3</t>
  </si>
  <si>
    <t>Opnav 77c M3</t>
  </si>
  <si>
    <t>Equatorial Lon 2</t>
  </si>
  <si>
    <t>Opnav 78a M3</t>
  </si>
  <si>
    <t>Opnav 78b M3</t>
  </si>
  <si>
    <t>Opnav 79a M3</t>
  </si>
  <si>
    <t xml:space="preserve">Mid North  3x1 C1 </t>
  </si>
  <si>
    <t>Mid North  2x2_C2</t>
  </si>
  <si>
    <t>Mid North  2x2_C3</t>
  </si>
  <si>
    <t>Mid North  2x2_C5</t>
  </si>
  <si>
    <t>North Polar Lon 2</t>
  </si>
  <si>
    <t>High North  1x5 B1</t>
  </si>
  <si>
    <t>High North  2x2_B2</t>
  </si>
  <si>
    <t>High North  2x2_B3</t>
  </si>
  <si>
    <t>High North  2x2_B4</t>
  </si>
  <si>
    <t>High North  1x5_B5</t>
  </si>
  <si>
    <t>one filter 4 image every 38 seconds (TABLE6+FAST)</t>
  </si>
  <si>
    <t>Flyover 2</t>
  </si>
  <si>
    <t>Equatorial Lon1 (5S)</t>
  </si>
  <si>
    <t>North Equatorial Lon1 (14N)</t>
  </si>
  <si>
    <t>Mid North 2x2_A1 (23N)</t>
  </si>
  <si>
    <t>Mid North 2x2_A2 (23N)</t>
  </si>
  <si>
    <t>Mid North 2x2_A3 (26N)</t>
  </si>
  <si>
    <t>Mid North 2x2_A4 (26N)</t>
  </si>
  <si>
    <t>1,3,4,6</t>
  </si>
  <si>
    <t>1,3,4,6,1</t>
  </si>
  <si>
    <t>Opnav 70a Q3</t>
  </si>
  <si>
    <t>Mid North  2x2_B1 (16N)</t>
  </si>
  <si>
    <t>Mid North  2x2_B2 (16N)</t>
  </si>
  <si>
    <t>Equatorial  2x2_A1 (0N)</t>
  </si>
  <si>
    <t>Equatorial 2x2_A2 (0N)</t>
  </si>
  <si>
    <t>Equatorial  2x2_A3  (0N)</t>
  </si>
  <si>
    <t>Equatorial  2x2_A4  (0N)</t>
  </si>
  <si>
    <t>Star Calibration 072</t>
  </si>
  <si>
    <t>2x2 with 7 filters at every position</t>
  </si>
  <si>
    <t>34 Meter (8.8 kb/s)</t>
  </si>
  <si>
    <t>OPN_87a_KL3</t>
  </si>
  <si>
    <t>OPN_87b_KM3</t>
  </si>
  <si>
    <t>Flyover12</t>
  </si>
  <si>
    <t>Flyover13               0(N)</t>
  </si>
  <si>
    <t>OPN_88a_KH1</t>
  </si>
  <si>
    <t>OPN_88b_KM3</t>
  </si>
  <si>
    <t>Flyover 14</t>
  </si>
  <si>
    <t>NorthEquatorialLon3  +25(N)</t>
  </si>
  <si>
    <t xml:space="preserve"> filter 4 2x8 mosaics every 12 deg (TABLE6+FAST)</t>
  </si>
  <si>
    <t>filter 4 images scanning along nose taken every 43s for 214 im and every 54s for 137 im (TABLE5+FAST)</t>
  </si>
  <si>
    <t>filter 4 images scanning along nose taken every 66s (TABLE5+FAST)</t>
  </si>
  <si>
    <t>4x2 mosaics taken every 6 deg (TABLE5+FAST)</t>
  </si>
  <si>
    <t>4x2 mosaics taken every 10 deg (TABLE6+FAST)</t>
  </si>
  <si>
    <t>7x1 with 4 filters at every position</t>
  </si>
  <si>
    <t>OPN_93b_KM1</t>
  </si>
  <si>
    <t>mp 75 (9sp + 2r +4d) calint=9;        245 exec</t>
  </si>
  <si>
    <t>mp 75 (9sp + 2r +4d) calint=9;        220 exec</t>
  </si>
  <si>
    <t xml:space="preserve"> Opnav 62a KL1</t>
  </si>
  <si>
    <t>double repeat: mp 73-76 (5sp + 2r + 2d) cal at 76; mp 75-78 (5sp + 2r + 2d) cal at 78</t>
  </si>
  <si>
    <t>mp 63 - 87  (16sp + 2r + 4d) cal at 87</t>
  </si>
  <si>
    <t>Opnav 70c Q3</t>
  </si>
  <si>
    <t>High North 2x2_B1 (35N)</t>
  </si>
  <si>
    <t xml:space="preserve"> Opnav 59a KF</t>
  </si>
  <si>
    <t>059</t>
  </si>
  <si>
    <t>F</t>
  </si>
  <si>
    <t>2x3 start stop mosaic in filter 4 (TABLE 5 + FAST)</t>
  </si>
  <si>
    <t>Star Calibration 084</t>
  </si>
  <si>
    <t>Opnav 85c Q1</t>
  </si>
  <si>
    <t>Star Calibration 086</t>
  </si>
  <si>
    <t>86</t>
  </si>
  <si>
    <t>NIS SouthPolar_A</t>
  </si>
  <si>
    <t>Opnav 86b H1</t>
  </si>
  <si>
    <t>South Polar Lon 2</t>
  </si>
  <si>
    <t>NIS SouthPolar Lon</t>
  </si>
  <si>
    <t>4x1 with 4 filters at every position</t>
  </si>
  <si>
    <t>9x1 with 4 filters at every position</t>
  </si>
  <si>
    <t>Opnav 79b KL3</t>
  </si>
  <si>
    <t>Opnav 79c M3</t>
  </si>
  <si>
    <t>Flyover 3</t>
  </si>
  <si>
    <t>point to asteroid body fix position and take 1 filter 4 image every 73 seconds (TABLE6+FAST)</t>
  </si>
  <si>
    <t>NIS Cal target O2</t>
  </si>
  <si>
    <t>cal target</t>
  </si>
  <si>
    <t>NIS_Caltarg_O2: Standard NIS_CAL</t>
  </si>
  <si>
    <t>MSI_CanCal_6: 16 images slewing across 2 pixels with Canopus, repeat (filters 1-7) (FAST)</t>
  </si>
  <si>
    <t>Total images for week</t>
  </si>
  <si>
    <t>Momentum Management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</si>
</sst>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hh:mm"/>
    <numFmt numFmtId="167" formatCode="dd\.\ mmm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5" fillId="0" borderId="1" xfId="0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2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1" fontId="5" fillId="2" borderId="1" xfId="0" applyNumberFormat="1" applyFont="1" applyFill="1" applyBorder="1" applyAlignment="1">
      <alignment vertical="top" wrapText="1"/>
    </xf>
    <xf numFmtId="1" fontId="5" fillId="3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2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16" fontId="5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20" fontId="5" fillId="2" borderId="1" xfId="0" applyNumberFormat="1" applyFont="1" applyFill="1" applyBorder="1" applyAlignment="1">
      <alignment horizontal="center" vertical="top" wrapText="1"/>
    </xf>
    <xf numFmtId="20" fontId="5" fillId="2" borderId="1" xfId="0" applyNumberFormat="1" applyFont="1" applyFill="1" applyBorder="1" applyAlignment="1">
      <alignment horizontal="center" vertical="top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" fontId="5" fillId="3" borderId="1" xfId="0" applyNumberFormat="1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20" fontId="5" fillId="3" borderId="1" xfId="0" applyNumberFormat="1" applyFont="1" applyFill="1" applyBorder="1" applyAlignment="1">
      <alignment horizontal="center" vertical="top" wrapText="1"/>
    </xf>
    <xf numFmtId="20" fontId="5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vertical="top" wrapText="1"/>
    </xf>
    <xf numFmtId="1" fontId="5" fillId="4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16" fontId="5" fillId="4" borderId="1" xfId="0" applyNumberFormat="1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top" wrapText="1"/>
    </xf>
    <xf numFmtId="20" fontId="5" fillId="4" borderId="1" xfId="0" applyNumberFormat="1" applyFont="1" applyFill="1" applyBorder="1" applyAlignment="1">
      <alignment horizontal="center" vertical="top" wrapText="1"/>
    </xf>
    <xf numFmtId="20" fontId="5" fillId="4" borderId="1" xfId="0" applyNumberFormat="1" applyFont="1" applyFill="1" applyBorder="1" applyAlignment="1">
      <alignment horizontal="center" vertical="top"/>
    </xf>
    <xf numFmtId="0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16" fontId="5" fillId="5" borderId="1" xfId="0" applyNumberFormat="1" applyFont="1" applyFill="1" applyBorder="1" applyAlignment="1">
      <alignment horizontal="center" vertical="top" wrapText="1"/>
    </xf>
    <xf numFmtId="49" fontId="5" fillId="5" borderId="1" xfId="0" applyNumberFormat="1" applyFont="1" applyFill="1" applyBorder="1" applyAlignment="1">
      <alignment horizontal="center" vertical="top" wrapText="1"/>
    </xf>
    <xf numFmtId="20" fontId="5" fillId="5" borderId="1" xfId="0" applyNumberFormat="1" applyFont="1" applyFill="1" applyBorder="1" applyAlignment="1">
      <alignment horizontal="center" vertical="top" wrapText="1"/>
    </xf>
    <xf numFmtId="20" fontId="5" fillId="5" borderId="1" xfId="0" applyNumberFormat="1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6" borderId="1" xfId="0" applyFont="1" applyFill="1" applyBorder="1" applyAlignment="1">
      <alignment vertical="top" wrapText="1"/>
    </xf>
    <xf numFmtId="1" fontId="5" fillId="6" borderId="1" xfId="0" applyNumberFormat="1" applyFont="1" applyFill="1" applyBorder="1" applyAlignment="1">
      <alignment vertical="top" wrapText="1"/>
    </xf>
    <xf numFmtId="16" fontId="5" fillId="6" borderId="1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top" wrapText="1"/>
    </xf>
    <xf numFmtId="20" fontId="5" fillId="6" borderId="1" xfId="0" applyNumberFormat="1" applyFont="1" applyFill="1" applyBorder="1" applyAlignment="1">
      <alignment horizontal="center" vertical="top" wrapText="1"/>
    </xf>
    <xf numFmtId="20" fontId="5" fillId="6" borderId="1" xfId="0" applyNumberFormat="1" applyFont="1" applyFill="1" applyBorder="1" applyAlignment="1">
      <alignment horizontal="center" vertical="top"/>
    </xf>
    <xf numFmtId="0" fontId="5" fillId="6" borderId="1" xfId="0" applyNumberFormat="1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2" fontId="5" fillId="6" borderId="1" xfId="0" applyNumberFormat="1" applyFont="1" applyFill="1" applyBorder="1" applyAlignment="1">
      <alignment horizontal="center" vertical="top" wrapText="1"/>
    </xf>
    <xf numFmtId="165" fontId="5" fillId="6" borderId="1" xfId="0" applyNumberFormat="1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vertical="top" wrapText="1"/>
    </xf>
    <xf numFmtId="0" fontId="5" fillId="5" borderId="3" xfId="0" applyFont="1" applyFill="1" applyBorder="1" applyAlignment="1">
      <alignment horizontal="center" vertical="top" wrapText="1"/>
    </xf>
    <xf numFmtId="2" fontId="5" fillId="5" borderId="3" xfId="0" applyNumberFormat="1" applyFont="1" applyFill="1" applyBorder="1" applyAlignment="1">
      <alignment horizontal="center" vertical="top" wrapText="1"/>
    </xf>
    <xf numFmtId="0" fontId="6" fillId="7" borderId="4" xfId="0" applyFont="1" applyFill="1" applyAlignment="1">
      <alignment horizontal="left" vertical="top"/>
    </xf>
    <xf numFmtId="0" fontId="6" fillId="7" borderId="4" xfId="0" applyFont="1" applyFill="1" applyAlignment="1">
      <alignment horizontal="center" vertical="top" wrapText="1"/>
    </xf>
    <xf numFmtId="0" fontId="6" fillId="7" borderId="4" xfId="0" applyFont="1" applyFill="1" applyAlignment="1">
      <alignment vertical="top" wrapText="1"/>
    </xf>
    <xf numFmtId="166" fontId="6" fillId="7" borderId="4" xfId="0" applyFont="1" applyFill="1" applyAlignment="1">
      <alignment horizontal="center" vertical="top"/>
    </xf>
    <xf numFmtId="0" fontId="6" fillId="7" borderId="4" xfId="0" applyFont="1" applyFill="1" applyAlignment="1">
      <alignment horizontal="center" vertical="top"/>
    </xf>
    <xf numFmtId="2" fontId="6" fillId="7" borderId="4" xfId="0" applyFont="1" applyFill="1" applyAlignment="1">
      <alignment horizontal="center" vertical="top" wrapText="1"/>
    </xf>
    <xf numFmtId="165" fontId="6" fillId="7" borderId="4" xfId="0" applyFont="1" applyFill="1" applyAlignment="1">
      <alignment horizontal="center" vertical="top" wrapText="1"/>
    </xf>
    <xf numFmtId="49" fontId="6" fillId="7" borderId="4" xfId="0" applyFont="1" applyFill="1" applyAlignment="1">
      <alignment horizontal="center" vertical="top" wrapText="1"/>
    </xf>
    <xf numFmtId="0" fontId="5" fillId="8" borderId="1" xfId="0" applyFont="1" applyFill="1" applyBorder="1" applyAlignment="1">
      <alignment vertical="top" wrapText="1"/>
    </xf>
    <xf numFmtId="1" fontId="5" fillId="8" borderId="1" xfId="0" applyNumberFormat="1" applyFont="1" applyFill="1" applyBorder="1" applyAlignment="1">
      <alignment vertical="top" wrapText="1"/>
    </xf>
    <xf numFmtId="16" fontId="5" fillId="8" borderId="1" xfId="0" applyNumberFormat="1" applyFont="1" applyFill="1" applyBorder="1" applyAlignment="1">
      <alignment horizontal="center" vertical="top" wrapText="1"/>
    </xf>
    <xf numFmtId="49" fontId="5" fillId="8" borderId="1" xfId="0" applyNumberFormat="1" applyFont="1" applyFill="1" applyBorder="1" applyAlignment="1">
      <alignment horizontal="center" vertical="top" wrapText="1"/>
    </xf>
    <xf numFmtId="20" fontId="5" fillId="8" borderId="1" xfId="0" applyNumberFormat="1" applyFont="1" applyFill="1" applyBorder="1" applyAlignment="1">
      <alignment horizontal="center" vertical="top" wrapText="1"/>
    </xf>
    <xf numFmtId="20" fontId="5" fillId="8" borderId="1" xfId="0" applyNumberFormat="1" applyFont="1" applyFill="1" applyBorder="1" applyAlignment="1">
      <alignment horizontal="center" vertical="top"/>
    </xf>
    <xf numFmtId="0" fontId="5" fillId="8" borderId="1" xfId="0" applyNumberFormat="1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center" vertical="top" wrapText="1"/>
    </xf>
    <xf numFmtId="2" fontId="5" fillId="8" borderId="1" xfId="0" applyNumberFormat="1" applyFont="1" applyFill="1" applyBorder="1" applyAlignment="1">
      <alignment horizontal="center" vertical="top" wrapText="1"/>
    </xf>
    <xf numFmtId="165" fontId="5" fillId="8" borderId="1" xfId="0" applyNumberFormat="1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vertical="top" wrapText="1"/>
    </xf>
    <xf numFmtId="0" fontId="7" fillId="0" borderId="4" xfId="0" applyFont="1" applyAlignment="1">
      <alignment horizontal="center" vertical="top" wrapText="1"/>
    </xf>
    <xf numFmtId="0" fontId="5" fillId="9" borderId="1" xfId="0" applyFont="1" applyFill="1" applyBorder="1" applyAlignment="1">
      <alignment vertical="top" wrapText="1"/>
    </xf>
    <xf numFmtId="1" fontId="5" fillId="9" borderId="1" xfId="0" applyNumberFormat="1" applyFont="1" applyFill="1" applyBorder="1" applyAlignment="1">
      <alignment vertical="top" wrapText="1"/>
    </xf>
    <xf numFmtId="16" fontId="5" fillId="9" borderId="1" xfId="0" applyNumberFormat="1" applyFont="1" applyFill="1" applyBorder="1" applyAlignment="1">
      <alignment horizontal="center" vertical="top" wrapText="1"/>
    </xf>
    <xf numFmtId="49" fontId="5" fillId="9" borderId="1" xfId="0" applyNumberFormat="1" applyFont="1" applyFill="1" applyBorder="1" applyAlignment="1">
      <alignment horizontal="center" vertical="top" wrapText="1"/>
    </xf>
    <xf numFmtId="20" fontId="5" fillId="9" borderId="1" xfId="0" applyNumberFormat="1" applyFont="1" applyFill="1" applyBorder="1" applyAlignment="1">
      <alignment horizontal="center" vertical="top" wrapText="1"/>
    </xf>
    <xf numFmtId="20" fontId="5" fillId="9" borderId="1" xfId="0" applyNumberFormat="1" applyFont="1" applyFill="1" applyBorder="1" applyAlignment="1">
      <alignment horizontal="center" vertical="top"/>
    </xf>
    <xf numFmtId="0" fontId="5" fillId="9" borderId="1" xfId="0" applyNumberFormat="1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165" fontId="5" fillId="9" borderId="1" xfId="0" applyNumberFormat="1" applyFont="1" applyFill="1" applyBorder="1" applyAlignment="1">
      <alignment horizontal="center" vertical="top" wrapText="1"/>
    </xf>
    <xf numFmtId="0" fontId="5" fillId="9" borderId="2" xfId="0" applyFont="1" applyFill="1" applyBorder="1" applyAlignment="1">
      <alignment vertical="top" wrapText="1"/>
    </xf>
    <xf numFmtId="2" fontId="6" fillId="10" borderId="4" xfId="0" applyFont="1" applyFill="1" applyAlignment="1">
      <alignment horizontal="center" vertical="top" wrapText="1"/>
    </xf>
    <xf numFmtId="165" fontId="6" fillId="10" borderId="4" xfId="0" applyFont="1" applyFill="1" applyAlignment="1">
      <alignment horizontal="center" vertical="top" wrapText="1"/>
    </xf>
    <xf numFmtId="0" fontId="6" fillId="7" borderId="5" xfId="0" applyFont="1" applyFill="1" applyBorder="1" applyAlignment="1">
      <alignment vertical="top" wrapText="1"/>
    </xf>
    <xf numFmtId="0" fontId="6" fillId="11" borderId="4" xfId="0" applyFont="1" applyFill="1" applyAlignment="1">
      <alignment horizontal="right" vertical="top" wrapText="1"/>
    </xf>
    <xf numFmtId="1" fontId="6" fillId="11" borderId="4" xfId="0" applyFont="1" applyFill="1" applyAlignment="1">
      <alignment vertical="top" wrapText="1"/>
    </xf>
    <xf numFmtId="0" fontId="6" fillId="11" borderId="4" xfId="0" applyFont="1" applyFill="1" applyAlignment="1">
      <alignment horizontal="center" vertical="top" wrapText="1"/>
    </xf>
    <xf numFmtId="16" fontId="6" fillId="11" borderId="4" xfId="0" applyNumberFormat="1" applyFont="1" applyFill="1" applyAlignment="1">
      <alignment horizontal="center" vertical="top" wrapText="1"/>
    </xf>
    <xf numFmtId="49" fontId="6" fillId="11" borderId="4" xfId="0" applyFont="1" applyFill="1" applyAlignment="1">
      <alignment horizontal="center" vertical="top" wrapText="1"/>
    </xf>
    <xf numFmtId="166" fontId="6" fillId="11" borderId="4" xfId="0" applyFont="1" applyFill="1" applyAlignment="1">
      <alignment horizontal="center" vertical="top" wrapText="1"/>
    </xf>
    <xf numFmtId="166" fontId="6" fillId="11" borderId="4" xfId="0" applyFont="1" applyFill="1" applyAlignment="1">
      <alignment horizontal="center" vertical="top"/>
    </xf>
    <xf numFmtId="2" fontId="6" fillId="11" borderId="4" xfId="0" applyFont="1" applyFill="1" applyAlignment="1">
      <alignment horizontal="center" vertical="top" wrapText="1"/>
    </xf>
    <xf numFmtId="0" fontId="6" fillId="11" borderId="4" xfId="0" applyFont="1" applyFill="1" applyAlignment="1">
      <alignment vertical="top" wrapText="1"/>
    </xf>
    <xf numFmtId="16" fontId="6" fillId="7" borderId="4" xfId="0" applyNumberFormat="1" applyFont="1" applyFill="1" applyAlignment="1">
      <alignment horizontal="center" vertical="top"/>
    </xf>
    <xf numFmtId="49" fontId="6" fillId="7" borderId="4" xfId="0" applyFont="1" applyFill="1" applyAlignment="1">
      <alignment horizontal="center" vertical="top"/>
    </xf>
    <xf numFmtId="0" fontId="6" fillId="7" borderId="6" xfId="0" applyFont="1" applyFill="1" applyBorder="1" applyAlignment="1">
      <alignment horizontal="left" vertical="top"/>
    </xf>
    <xf numFmtId="0" fontId="6" fillId="7" borderId="6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vertical="top" wrapText="1"/>
    </xf>
    <xf numFmtId="16" fontId="6" fillId="7" borderId="6" xfId="0" applyNumberFormat="1" applyFont="1" applyFill="1" applyBorder="1" applyAlignment="1">
      <alignment horizontal="center" vertical="top"/>
    </xf>
    <xf numFmtId="49" fontId="6" fillId="7" borderId="6" xfId="0" applyFont="1" applyFill="1" applyBorder="1" applyAlignment="1">
      <alignment horizontal="center" vertical="top"/>
    </xf>
    <xf numFmtId="166" fontId="6" fillId="7" borderId="6" xfId="0" applyFont="1" applyFill="1" applyBorder="1" applyAlignment="1">
      <alignment horizontal="center" vertical="top"/>
    </xf>
    <xf numFmtId="0" fontId="6" fillId="7" borderId="6" xfId="0" applyFont="1" applyFill="1" applyBorder="1" applyAlignment="1">
      <alignment horizontal="center" vertical="top"/>
    </xf>
    <xf numFmtId="2" fontId="6" fillId="7" borderId="6" xfId="0" applyFont="1" applyFill="1" applyBorder="1" applyAlignment="1">
      <alignment horizontal="center" vertical="top" wrapText="1"/>
    </xf>
    <xf numFmtId="165" fontId="6" fillId="7" borderId="6" xfId="0" applyFont="1" applyFill="1" applyBorder="1" applyAlignment="1">
      <alignment horizontal="center" vertical="top" wrapText="1"/>
    </xf>
    <xf numFmtId="49" fontId="6" fillId="7" borderId="6" xfId="0" applyFont="1" applyFill="1" applyBorder="1" applyAlignment="1">
      <alignment horizontal="center" vertical="top" wrapText="1"/>
    </xf>
    <xf numFmtId="0" fontId="6" fillId="7" borderId="6" xfId="0" applyFont="1" applyFill="1" applyAlignment="1">
      <alignment vertical="top" wrapText="1"/>
    </xf>
    <xf numFmtId="0" fontId="6" fillId="10" borderId="4" xfId="0" applyFont="1" applyFill="1" applyAlignment="1">
      <alignment vertical="top" wrapText="1"/>
    </xf>
    <xf numFmtId="0" fontId="6" fillId="10" borderId="4" xfId="0" applyFont="1" applyFill="1" applyAlignment="1">
      <alignment horizontal="center" vertical="top" wrapText="1"/>
    </xf>
    <xf numFmtId="16" fontId="6" fillId="10" borderId="4" xfId="0" applyNumberFormat="1" applyFont="1" applyFill="1" applyAlignment="1">
      <alignment horizontal="center" vertical="top" wrapText="1"/>
    </xf>
    <xf numFmtId="49" fontId="6" fillId="10" borderId="4" xfId="0" applyFont="1" applyFill="1" applyAlignment="1">
      <alignment horizontal="center" vertical="top" wrapText="1"/>
    </xf>
    <xf numFmtId="166" fontId="6" fillId="10" borderId="4" xfId="0" applyFont="1" applyFill="1" applyAlignment="1">
      <alignment horizontal="center" vertical="top" wrapText="1"/>
    </xf>
    <xf numFmtId="166" fontId="6" fillId="10" borderId="4" xfId="0" applyFont="1" applyFill="1" applyAlignment="1">
      <alignment horizontal="center" vertical="top"/>
    </xf>
    <xf numFmtId="16" fontId="6" fillId="7" borderId="4" xfId="0" applyNumberFormat="1" applyFont="1" applyFill="1" applyAlignment="1">
      <alignment horizontal="center" vertical="top" wrapText="1"/>
    </xf>
    <xf numFmtId="166" fontId="6" fillId="7" borderId="4" xfId="0" applyFont="1" applyFill="1" applyAlignment="1">
      <alignment horizontal="center" vertical="top" wrapText="1"/>
    </xf>
    <xf numFmtId="0" fontId="6" fillId="12" borderId="4" xfId="0" applyFont="1" applyFill="1" applyAlignment="1">
      <alignment horizontal="right" vertical="top" wrapText="1"/>
    </xf>
    <xf numFmtId="1" fontId="6" fillId="12" borderId="4" xfId="0" applyFont="1" applyFill="1" applyAlignment="1">
      <alignment vertical="top" wrapText="1"/>
    </xf>
    <xf numFmtId="0" fontId="6" fillId="12" borderId="4" xfId="0" applyFont="1" applyFill="1" applyAlignment="1">
      <alignment horizontal="center" vertical="top" wrapText="1"/>
    </xf>
    <xf numFmtId="16" fontId="6" fillId="12" borderId="4" xfId="0" applyNumberFormat="1" applyFont="1" applyFill="1" applyAlignment="1">
      <alignment horizontal="center" vertical="top" wrapText="1"/>
    </xf>
    <xf numFmtId="49" fontId="6" fillId="12" borderId="4" xfId="0" applyFont="1" applyFill="1" applyAlignment="1">
      <alignment horizontal="center" vertical="top" wrapText="1"/>
    </xf>
    <xf numFmtId="166" fontId="6" fillId="12" borderId="4" xfId="0" applyFont="1" applyFill="1" applyAlignment="1">
      <alignment horizontal="center" vertical="top" wrapText="1"/>
    </xf>
    <xf numFmtId="166" fontId="6" fillId="12" borderId="4" xfId="0" applyFont="1" applyFill="1" applyAlignment="1">
      <alignment horizontal="center" vertical="top"/>
    </xf>
    <xf numFmtId="2" fontId="6" fillId="12" borderId="4" xfId="0" applyFont="1" applyFill="1" applyAlignment="1">
      <alignment horizontal="center" vertical="top" wrapText="1"/>
    </xf>
    <xf numFmtId="0" fontId="6" fillId="12" borderId="4" xfId="0" applyFont="1" applyFill="1" applyAlignment="1">
      <alignment vertical="top" wrapText="1"/>
    </xf>
    <xf numFmtId="0" fontId="6" fillId="13" borderId="4" xfId="0" applyFont="1" applyFill="1" applyAlignment="1">
      <alignment vertical="top" wrapText="1"/>
    </xf>
    <xf numFmtId="0" fontId="6" fillId="13" borderId="4" xfId="0" applyFont="1" applyFill="1" applyAlignment="1">
      <alignment horizontal="center" vertical="top"/>
    </xf>
    <xf numFmtId="16" fontId="6" fillId="13" borderId="4" xfId="0" applyNumberFormat="1" applyFont="1" applyFill="1" applyAlignment="1">
      <alignment horizontal="center" vertical="top" wrapText="1"/>
    </xf>
    <xf numFmtId="49" fontId="6" fillId="13" borderId="4" xfId="0" applyFont="1" applyFill="1" applyAlignment="1">
      <alignment horizontal="center" vertical="top" wrapText="1"/>
    </xf>
    <xf numFmtId="166" fontId="6" fillId="13" borderId="4" xfId="0" applyFont="1" applyFill="1" applyAlignment="1">
      <alignment horizontal="center" vertical="top" wrapText="1"/>
    </xf>
    <xf numFmtId="166" fontId="6" fillId="13" borderId="4" xfId="0" applyFont="1" applyFill="1" applyAlignment="1">
      <alignment horizontal="center" vertical="top"/>
    </xf>
    <xf numFmtId="0" fontId="6" fillId="13" borderId="4" xfId="0" applyFont="1" applyFill="1" applyAlignment="1">
      <alignment horizontal="center" vertical="top" wrapText="1"/>
    </xf>
    <xf numFmtId="2" fontId="6" fillId="13" borderId="4" xfId="0" applyFont="1" applyFill="1" applyAlignment="1">
      <alignment horizontal="center" vertical="top" wrapText="1"/>
    </xf>
    <xf numFmtId="165" fontId="6" fillId="13" borderId="4" xfId="0" applyFont="1" applyFill="1" applyAlignment="1">
      <alignment horizontal="center" vertical="top" wrapText="1"/>
    </xf>
    <xf numFmtId="1" fontId="6" fillId="13" borderId="4" xfId="0" applyFont="1" applyFill="1" applyAlignment="1">
      <alignment vertical="top" wrapText="1"/>
    </xf>
    <xf numFmtId="167" fontId="6" fillId="13" borderId="4" xfId="0" applyFont="1" applyFill="1" applyAlignment="1">
      <alignment horizontal="center" vertical="top" wrapText="1"/>
    </xf>
    <xf numFmtId="0" fontId="6" fillId="14" borderId="4" xfId="0" applyFont="1" applyFill="1" applyAlignment="1">
      <alignment vertical="top" wrapText="1"/>
    </xf>
    <xf numFmtId="0" fontId="6" fillId="14" borderId="4" xfId="0" applyFont="1" applyFill="1" applyAlignment="1">
      <alignment horizontal="center" vertical="top" wrapText="1"/>
    </xf>
    <xf numFmtId="16" fontId="6" fillId="14" borderId="4" xfId="0" applyNumberFormat="1" applyFont="1" applyFill="1" applyAlignment="1">
      <alignment horizontal="center" vertical="top" wrapText="1"/>
    </xf>
    <xf numFmtId="49" fontId="6" fillId="14" borderId="4" xfId="0" applyFont="1" applyFill="1" applyAlignment="1">
      <alignment horizontal="center" vertical="top" wrapText="1"/>
    </xf>
    <xf numFmtId="166" fontId="6" fillId="14" borderId="4" xfId="0" applyFont="1" applyFill="1" applyAlignment="1">
      <alignment horizontal="center" vertical="top" wrapText="1"/>
    </xf>
    <xf numFmtId="166" fontId="6" fillId="14" borderId="4" xfId="0" applyFont="1" applyFill="1" applyAlignment="1">
      <alignment horizontal="center" vertical="top"/>
    </xf>
    <xf numFmtId="2" fontId="6" fillId="14" borderId="4" xfId="0" applyFont="1" applyFill="1" applyAlignment="1">
      <alignment horizontal="center" vertical="top" wrapText="1"/>
    </xf>
    <xf numFmtId="165" fontId="6" fillId="14" borderId="4" xfId="0" applyFont="1" applyFill="1" applyAlignment="1">
      <alignment horizontal="center" vertical="top" wrapText="1"/>
    </xf>
    <xf numFmtId="0" fontId="6" fillId="15" borderId="6" xfId="0" applyFont="1" applyFill="1" applyBorder="1" applyAlignment="1">
      <alignment vertical="top" wrapText="1"/>
    </xf>
    <xf numFmtId="1" fontId="6" fillId="15" borderId="6" xfId="0" applyFont="1" applyFill="1" applyBorder="1" applyAlignment="1">
      <alignment vertical="top" wrapText="1"/>
    </xf>
    <xf numFmtId="16" fontId="6" fillId="15" borderId="6" xfId="0" applyNumberFormat="1" applyFont="1" applyFill="1" applyBorder="1" applyAlignment="1">
      <alignment horizontal="center" vertical="top" wrapText="1"/>
    </xf>
    <xf numFmtId="49" fontId="6" fillId="15" borderId="6" xfId="0" applyFont="1" applyFill="1" applyBorder="1" applyAlignment="1">
      <alignment horizontal="center" vertical="top" wrapText="1"/>
    </xf>
    <xf numFmtId="166" fontId="6" fillId="15" borderId="6" xfId="0" applyFont="1" applyFill="1" applyBorder="1" applyAlignment="1">
      <alignment horizontal="center" vertical="top" wrapText="1"/>
    </xf>
    <xf numFmtId="0" fontId="6" fillId="15" borderId="6" xfId="0" applyFont="1" applyFill="1" applyBorder="1" applyAlignment="1">
      <alignment horizontal="center" vertical="top" wrapText="1"/>
    </xf>
    <xf numFmtId="166" fontId="6" fillId="15" borderId="6" xfId="0" applyFont="1" applyFill="1" applyBorder="1" applyAlignment="1">
      <alignment horizontal="center" vertical="top"/>
    </xf>
    <xf numFmtId="2" fontId="6" fillId="15" borderId="6" xfId="0" applyFont="1" applyFill="1" applyBorder="1" applyAlignment="1">
      <alignment horizontal="center" vertical="top" wrapText="1"/>
    </xf>
    <xf numFmtId="165" fontId="6" fillId="15" borderId="6" xfId="0" applyFont="1" applyFill="1" applyBorder="1" applyAlignment="1">
      <alignment horizontal="center" vertical="top" wrapText="1"/>
    </xf>
    <xf numFmtId="16" fontId="6" fillId="13" borderId="4" xfId="0" applyNumberFormat="1" applyFont="1" applyFill="1" applyAlignment="1">
      <alignment horizontal="center" vertical="top"/>
    </xf>
    <xf numFmtId="49" fontId="6" fillId="13" borderId="4" xfId="0" applyFont="1" applyFill="1" applyAlignment="1">
      <alignment horizontal="center" vertical="top"/>
    </xf>
    <xf numFmtId="0" fontId="6" fillId="13" borderId="6" xfId="0" applyFont="1" applyFill="1" applyAlignment="1">
      <alignment horizontal="center" vertical="top" wrapText="1"/>
    </xf>
    <xf numFmtId="0" fontId="5" fillId="8" borderId="7" xfId="0" applyFont="1" applyFill="1" applyBorder="1" applyAlignment="1">
      <alignment vertical="top" wrapText="1"/>
    </xf>
    <xf numFmtId="1" fontId="5" fillId="8" borderId="7" xfId="0" applyNumberFormat="1" applyFont="1" applyFill="1" applyBorder="1" applyAlignment="1">
      <alignment vertical="top" wrapText="1"/>
    </xf>
    <xf numFmtId="16" fontId="5" fillId="8" borderId="7" xfId="0" applyNumberFormat="1" applyFont="1" applyFill="1" applyBorder="1" applyAlignment="1">
      <alignment horizontal="center" vertical="top" wrapText="1"/>
    </xf>
    <xf numFmtId="49" fontId="5" fillId="8" borderId="7" xfId="0" applyNumberFormat="1" applyFont="1" applyFill="1" applyBorder="1" applyAlignment="1">
      <alignment horizontal="center" vertical="top" wrapText="1"/>
    </xf>
    <xf numFmtId="20" fontId="5" fillId="8" borderId="7" xfId="0" applyNumberFormat="1" applyFont="1" applyFill="1" applyBorder="1" applyAlignment="1">
      <alignment horizontal="center" vertical="top" wrapText="1"/>
    </xf>
    <xf numFmtId="20" fontId="5" fillId="8" borderId="7" xfId="0" applyNumberFormat="1" applyFont="1" applyFill="1" applyBorder="1" applyAlignment="1">
      <alignment horizontal="center" vertical="top"/>
    </xf>
    <xf numFmtId="0" fontId="5" fillId="8" borderId="7" xfId="0" applyNumberFormat="1" applyFont="1" applyFill="1" applyBorder="1" applyAlignment="1">
      <alignment horizontal="center" vertical="top" wrapText="1"/>
    </xf>
    <xf numFmtId="0" fontId="5" fillId="8" borderId="7" xfId="0" applyFont="1" applyFill="1" applyBorder="1" applyAlignment="1">
      <alignment horizontal="center" vertical="top" wrapText="1"/>
    </xf>
    <xf numFmtId="2" fontId="5" fillId="8" borderId="7" xfId="0" applyNumberFormat="1" applyFont="1" applyFill="1" applyBorder="1" applyAlignment="1">
      <alignment horizontal="center" vertical="top" wrapText="1"/>
    </xf>
    <xf numFmtId="165" fontId="5" fillId="8" borderId="7" xfId="0" applyNumberFormat="1" applyFont="1" applyFill="1" applyBorder="1" applyAlignment="1">
      <alignment horizontal="center" vertical="top" wrapText="1"/>
    </xf>
    <xf numFmtId="0" fontId="5" fillId="8" borderId="8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right" vertical="top" wrapText="1"/>
    </xf>
    <xf numFmtId="0" fontId="5" fillId="6" borderId="1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right" vertical="top" wrapText="1"/>
    </xf>
    <xf numFmtId="0" fontId="6" fillId="15" borderId="6" xfId="0" applyFont="1" applyFill="1" applyBorder="1" applyAlignment="1">
      <alignment horizontal="right" vertical="top" wrapText="1"/>
    </xf>
    <xf numFmtId="16" fontId="6" fillId="13" borderId="4" xfId="0" applyNumberFormat="1" applyFont="1" applyFill="1" applyAlignment="1" quotePrefix="1">
      <alignment horizontal="center" vertical="top" wrapText="1"/>
    </xf>
    <xf numFmtId="0" fontId="5" fillId="0" borderId="1" xfId="0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20" fontId="5" fillId="0" borderId="1" xfId="0" applyNumberFormat="1" applyFont="1" applyBorder="1" applyAlignment="1">
      <alignment horizontal="center" vertical="top" wrapText="1"/>
    </xf>
    <xf numFmtId="16" fontId="5" fillId="16" borderId="1" xfId="0" applyNumberFormat="1" applyFont="1" applyFill="1" applyBorder="1" applyAlignment="1">
      <alignment horizontal="center" vertical="top" wrapText="1"/>
    </xf>
    <xf numFmtId="49" fontId="5" fillId="16" borderId="1" xfId="0" applyNumberFormat="1" applyFont="1" applyFill="1" applyBorder="1" applyAlignment="1">
      <alignment horizontal="center" vertical="top" wrapText="1"/>
    </xf>
    <xf numFmtId="165" fontId="5" fillId="16" borderId="1" xfId="0" applyNumberFormat="1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vertical="top" wrapText="1"/>
    </xf>
    <xf numFmtId="0" fontId="5" fillId="4" borderId="9" xfId="0" applyFont="1" applyFill="1" applyBorder="1" applyAlignment="1">
      <alignment vertical="top" wrapText="1"/>
    </xf>
    <xf numFmtId="1" fontId="5" fillId="4" borderId="9" xfId="0" applyNumberFormat="1" applyFont="1" applyFill="1" applyBorder="1" applyAlignment="1">
      <alignment vertical="top" wrapText="1"/>
    </xf>
    <xf numFmtId="16" fontId="5" fillId="4" borderId="9" xfId="0" applyNumberFormat="1" applyFont="1" applyFill="1" applyBorder="1" applyAlignment="1">
      <alignment horizontal="center" vertical="top" wrapText="1"/>
    </xf>
    <xf numFmtId="49" fontId="5" fillId="4" borderId="9" xfId="0" applyNumberFormat="1" applyFont="1" applyFill="1" applyBorder="1" applyAlignment="1">
      <alignment horizontal="center" vertical="top" wrapText="1"/>
    </xf>
    <xf numFmtId="20" fontId="5" fillId="4" borderId="9" xfId="0" applyNumberFormat="1" applyFont="1" applyFill="1" applyBorder="1" applyAlignment="1">
      <alignment horizontal="center" vertical="top" wrapText="1"/>
    </xf>
    <xf numFmtId="20" fontId="5" fillId="4" borderId="9" xfId="0" applyNumberFormat="1" applyFont="1" applyFill="1" applyBorder="1" applyAlignment="1">
      <alignment horizontal="center" vertical="top"/>
    </xf>
    <xf numFmtId="0" fontId="5" fillId="4" borderId="9" xfId="0" applyNumberFormat="1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2" fontId="5" fillId="4" borderId="9" xfId="0" applyNumberFormat="1" applyFont="1" applyFill="1" applyBorder="1" applyAlignment="1">
      <alignment horizontal="center" vertical="top" wrapText="1"/>
    </xf>
    <xf numFmtId="165" fontId="5" fillId="4" borderId="9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vertical="top" wrapText="1"/>
    </xf>
    <xf numFmtId="0" fontId="6" fillId="7" borderId="11" xfId="0" applyFont="1" applyFill="1" applyBorder="1" applyAlignment="1">
      <alignment vertical="top" wrapText="1"/>
    </xf>
    <xf numFmtId="0" fontId="5" fillId="16" borderId="1" xfId="0" applyFont="1" applyFill="1" applyBorder="1" applyAlignment="1">
      <alignment horizontal="center" vertical="top" wrapText="1"/>
    </xf>
    <xf numFmtId="1" fontId="5" fillId="16" borderId="1" xfId="0" applyNumberFormat="1" applyFont="1" applyFill="1" applyBorder="1" applyAlignment="1">
      <alignment horizontal="center" vertical="top" wrapText="1"/>
    </xf>
    <xf numFmtId="20" fontId="5" fillId="16" borderId="1" xfId="0" applyNumberFormat="1" applyFont="1" applyFill="1" applyBorder="1" applyAlignment="1">
      <alignment horizontal="center" vertical="top" wrapText="1"/>
    </xf>
    <xf numFmtId="20" fontId="5" fillId="16" borderId="1" xfId="0" applyNumberFormat="1" applyFont="1" applyFill="1" applyBorder="1" applyAlignment="1">
      <alignment horizontal="center" vertical="top"/>
    </xf>
    <xf numFmtId="0" fontId="5" fillId="16" borderId="1" xfId="0" applyNumberFormat="1" applyFont="1" applyFill="1" applyBorder="1" applyAlignment="1">
      <alignment horizontal="center" vertical="top" wrapText="1"/>
    </xf>
    <xf numFmtId="2" fontId="5" fillId="16" borderId="1" xfId="0" applyNumberFormat="1" applyFont="1" applyFill="1" applyBorder="1" applyAlignment="1">
      <alignment horizontal="center" vertical="top" wrapText="1"/>
    </xf>
    <xf numFmtId="0" fontId="5" fillId="8" borderId="9" xfId="0" applyFont="1" applyFill="1" applyBorder="1" applyAlignment="1">
      <alignment vertical="top" wrapText="1"/>
    </xf>
    <xf numFmtId="1" fontId="5" fillId="8" borderId="9" xfId="0" applyNumberFormat="1" applyFont="1" applyFill="1" applyBorder="1" applyAlignment="1">
      <alignment vertical="top" wrapText="1"/>
    </xf>
    <xf numFmtId="16" fontId="5" fillId="8" borderId="9" xfId="0" applyNumberFormat="1" applyFont="1" applyFill="1" applyBorder="1" applyAlignment="1">
      <alignment horizontal="center" vertical="top" wrapText="1"/>
    </xf>
    <xf numFmtId="49" fontId="5" fillId="8" borderId="9" xfId="0" applyNumberFormat="1" applyFont="1" applyFill="1" applyBorder="1" applyAlignment="1">
      <alignment horizontal="center" vertical="top" wrapText="1"/>
    </xf>
    <xf numFmtId="20" fontId="5" fillId="8" borderId="9" xfId="0" applyNumberFormat="1" applyFont="1" applyFill="1" applyBorder="1" applyAlignment="1">
      <alignment horizontal="center" vertical="top" wrapText="1"/>
    </xf>
    <xf numFmtId="20" fontId="5" fillId="8" borderId="9" xfId="0" applyNumberFormat="1" applyFont="1" applyFill="1" applyBorder="1" applyAlignment="1">
      <alignment horizontal="center" vertical="top"/>
    </xf>
    <xf numFmtId="0" fontId="5" fillId="8" borderId="9" xfId="0" applyNumberFormat="1" applyFont="1" applyFill="1" applyBorder="1" applyAlignment="1">
      <alignment horizontal="center" vertical="top" wrapText="1"/>
    </xf>
    <xf numFmtId="0" fontId="5" fillId="8" borderId="9" xfId="0" applyFont="1" applyFill="1" applyBorder="1" applyAlignment="1">
      <alignment horizontal="center" vertical="top" wrapText="1"/>
    </xf>
    <xf numFmtId="2" fontId="5" fillId="8" borderId="9" xfId="0" applyNumberFormat="1" applyFont="1" applyFill="1" applyBorder="1" applyAlignment="1">
      <alignment horizontal="center" vertical="top" wrapText="1"/>
    </xf>
    <xf numFmtId="165" fontId="5" fillId="8" borderId="9" xfId="0" applyNumberFormat="1" applyFont="1" applyFill="1" applyBorder="1" applyAlignment="1">
      <alignment horizontal="center" vertical="top" wrapText="1"/>
    </xf>
    <xf numFmtId="0" fontId="5" fillId="8" borderId="10" xfId="0" applyFont="1" applyFill="1" applyBorder="1" applyAlignment="1">
      <alignment vertical="top" wrapText="1"/>
    </xf>
    <xf numFmtId="16" fontId="5" fillId="2" borderId="1" xfId="0" applyNumberFormat="1" applyFont="1" applyFill="1" applyBorder="1" applyAlignment="1" quotePrefix="1">
      <alignment horizontal="center" vertical="top" wrapText="1"/>
    </xf>
    <xf numFmtId="0" fontId="5" fillId="2" borderId="1" xfId="0" applyFont="1" applyFill="1" applyBorder="1" applyAlignment="1" quotePrefix="1">
      <alignment horizontal="center" vertical="top" wrapText="1"/>
    </xf>
    <xf numFmtId="0" fontId="5" fillId="5" borderId="12" xfId="0" applyFont="1" applyFill="1" applyBorder="1" applyAlignment="1">
      <alignment horizontal="right" vertical="top" wrapText="1"/>
    </xf>
    <xf numFmtId="1" fontId="5" fillId="5" borderId="12" xfId="0" applyNumberFormat="1" applyFont="1" applyFill="1" applyBorder="1" applyAlignment="1">
      <alignment vertical="top" wrapText="1"/>
    </xf>
    <xf numFmtId="0" fontId="5" fillId="5" borderId="12" xfId="0" applyFont="1" applyFill="1" applyBorder="1" applyAlignment="1">
      <alignment vertical="top" wrapText="1"/>
    </xf>
    <xf numFmtId="16" fontId="5" fillId="5" borderId="12" xfId="0" applyNumberFormat="1" applyFont="1" applyFill="1" applyBorder="1" applyAlignment="1">
      <alignment horizontal="center" vertical="top" wrapText="1"/>
    </xf>
    <xf numFmtId="49" fontId="5" fillId="5" borderId="12" xfId="0" applyNumberFormat="1" applyFont="1" applyFill="1" applyBorder="1" applyAlignment="1">
      <alignment horizontal="center" vertical="top" wrapText="1"/>
    </xf>
    <xf numFmtId="20" fontId="5" fillId="5" borderId="12" xfId="0" applyNumberFormat="1" applyFont="1" applyFill="1" applyBorder="1" applyAlignment="1">
      <alignment horizontal="center" vertical="top" wrapText="1"/>
    </xf>
    <xf numFmtId="20" fontId="5" fillId="5" borderId="12" xfId="0" applyNumberFormat="1" applyFont="1" applyFill="1" applyBorder="1" applyAlignment="1">
      <alignment horizontal="center" vertical="top"/>
    </xf>
    <xf numFmtId="0" fontId="5" fillId="5" borderId="12" xfId="0" applyFont="1" applyFill="1" applyBorder="1" applyAlignment="1">
      <alignment horizontal="center" vertical="top" wrapText="1"/>
    </xf>
    <xf numFmtId="0" fontId="5" fillId="5" borderId="12" xfId="0" applyNumberFormat="1" applyFont="1" applyFill="1" applyBorder="1" applyAlignment="1">
      <alignment horizontal="center" vertical="top" wrapText="1"/>
    </xf>
    <xf numFmtId="2" fontId="5" fillId="5" borderId="12" xfId="0" applyNumberFormat="1" applyFont="1" applyFill="1" applyBorder="1" applyAlignment="1">
      <alignment horizontal="center" vertical="top" wrapText="1"/>
    </xf>
    <xf numFmtId="165" fontId="5" fillId="5" borderId="12" xfId="0" applyNumberFormat="1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vertical="top" wrapText="1"/>
    </xf>
    <xf numFmtId="165" fontId="5" fillId="5" borderId="1" xfId="0" applyNumberFormat="1" applyFont="1" applyFill="1" applyBorder="1" applyAlignment="1">
      <alignment horizontal="center" vertical="top" wrapText="1"/>
    </xf>
    <xf numFmtId="0" fontId="5" fillId="9" borderId="7" xfId="0" applyFont="1" applyFill="1" applyBorder="1" applyAlignment="1">
      <alignment vertical="top" wrapText="1"/>
    </xf>
    <xf numFmtId="1" fontId="5" fillId="9" borderId="7" xfId="0" applyNumberFormat="1" applyFont="1" applyFill="1" applyBorder="1" applyAlignment="1">
      <alignment vertical="top" wrapText="1"/>
    </xf>
    <xf numFmtId="16" fontId="5" fillId="9" borderId="7" xfId="0" applyNumberFormat="1" applyFont="1" applyFill="1" applyBorder="1" applyAlignment="1">
      <alignment horizontal="center" vertical="top" wrapText="1"/>
    </xf>
    <xf numFmtId="49" fontId="5" fillId="9" borderId="7" xfId="0" applyNumberFormat="1" applyFont="1" applyFill="1" applyBorder="1" applyAlignment="1">
      <alignment horizontal="center" vertical="top" wrapText="1"/>
    </xf>
    <xf numFmtId="20" fontId="5" fillId="9" borderId="7" xfId="0" applyNumberFormat="1" applyFont="1" applyFill="1" applyBorder="1" applyAlignment="1">
      <alignment horizontal="center" vertical="top" wrapText="1"/>
    </xf>
    <xf numFmtId="20" fontId="5" fillId="9" borderId="7" xfId="0" applyNumberFormat="1" applyFont="1" applyFill="1" applyBorder="1" applyAlignment="1">
      <alignment horizontal="center" vertical="top"/>
    </xf>
    <xf numFmtId="0" fontId="5" fillId="9" borderId="7" xfId="0" applyFont="1" applyFill="1" applyBorder="1" applyAlignment="1">
      <alignment horizontal="center" vertical="top" wrapText="1"/>
    </xf>
    <xf numFmtId="0" fontId="5" fillId="9" borderId="7" xfId="0" applyNumberFormat="1" applyFont="1" applyFill="1" applyBorder="1" applyAlignment="1">
      <alignment horizontal="center" vertical="top" wrapText="1"/>
    </xf>
    <xf numFmtId="2" fontId="5" fillId="9" borderId="7" xfId="0" applyNumberFormat="1" applyFont="1" applyFill="1" applyBorder="1" applyAlignment="1">
      <alignment horizontal="center" vertical="top" wrapText="1"/>
    </xf>
    <xf numFmtId="165" fontId="5" fillId="9" borderId="7" xfId="0" applyNumberFormat="1" applyFont="1" applyFill="1" applyBorder="1" applyAlignment="1">
      <alignment horizontal="center" vertical="top" wrapText="1"/>
    </xf>
    <xf numFmtId="49" fontId="5" fillId="9" borderId="8" xfId="0" applyNumberFormat="1" applyFont="1" applyFill="1" applyBorder="1" applyAlignment="1">
      <alignment horizontal="center" vertical="top" wrapText="1"/>
    </xf>
    <xf numFmtId="0" fontId="5" fillId="9" borderId="8" xfId="0" applyFont="1" applyFill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top" wrapText="1"/>
    </xf>
    <xf numFmtId="1" fontId="7" fillId="0" borderId="4" xfId="0" applyNumberFormat="1" applyFont="1" applyAlignment="1">
      <alignment horizontal="center" vertical="top" wrapText="1"/>
    </xf>
    <xf numFmtId="1" fontId="6" fillId="7" borderId="6" xfId="0" applyNumberFormat="1" applyFont="1" applyFill="1" applyBorder="1" applyAlignment="1">
      <alignment horizontal="center" vertical="top" wrapText="1"/>
    </xf>
    <xf numFmtId="1" fontId="6" fillId="10" borderId="4" xfId="0" applyNumberFormat="1" applyFont="1" applyFill="1" applyAlignment="1">
      <alignment horizontal="center" vertical="top" wrapText="1"/>
    </xf>
    <xf numFmtId="1" fontId="6" fillId="7" borderId="4" xfId="0" applyNumberFormat="1" applyFont="1" applyFill="1" applyAlignment="1">
      <alignment horizontal="center" vertical="top" wrapText="1"/>
    </xf>
    <xf numFmtId="1" fontId="6" fillId="12" borderId="4" xfId="0" applyNumberFormat="1" applyFont="1" applyFill="1" applyAlignment="1">
      <alignment horizontal="center" vertical="top" wrapText="1"/>
    </xf>
    <xf numFmtId="1" fontId="6" fillId="13" borderId="4" xfId="0" applyNumberFormat="1" applyFont="1" applyFill="1" applyAlignment="1">
      <alignment horizontal="center" vertical="top" wrapText="1"/>
    </xf>
    <xf numFmtId="1" fontId="6" fillId="11" borderId="4" xfId="0" applyNumberFormat="1" applyFont="1" applyFill="1" applyAlignment="1">
      <alignment horizontal="center" vertical="top" wrapText="1"/>
    </xf>
    <xf numFmtId="1" fontId="6" fillId="14" borderId="4" xfId="0" applyNumberFormat="1" applyFont="1" applyFill="1" applyAlignment="1">
      <alignment horizontal="center" vertical="top" wrapText="1"/>
    </xf>
    <xf numFmtId="1" fontId="6" fillId="15" borderId="6" xfId="0" applyNumberFormat="1" applyFont="1" applyFill="1" applyBorder="1" applyAlignment="1">
      <alignment horizontal="center" vertical="top" wrapText="1"/>
    </xf>
    <xf numFmtId="1" fontId="5" fillId="8" borderId="7" xfId="0" applyNumberFormat="1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1" fontId="5" fillId="8" borderId="1" xfId="0" applyNumberFormat="1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1" fontId="5" fillId="6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" fontId="5" fillId="9" borderId="1" xfId="0" applyNumberFormat="1" applyFont="1" applyFill="1" applyBorder="1" applyAlignment="1">
      <alignment horizontal="center" vertical="top" wrapText="1"/>
    </xf>
    <xf numFmtId="1" fontId="5" fillId="5" borderId="12" xfId="0" applyNumberFormat="1" applyFont="1" applyFill="1" applyBorder="1" applyAlignment="1">
      <alignment horizontal="center" vertical="top" wrapText="1"/>
    </xf>
    <xf numFmtId="1" fontId="5" fillId="9" borderId="7" xfId="0" applyNumberFormat="1" applyFont="1" applyFill="1" applyBorder="1" applyAlignment="1">
      <alignment horizontal="center" vertical="top" wrapText="1"/>
    </xf>
    <xf numFmtId="1" fontId="5" fillId="4" borderId="9" xfId="0" applyNumberFormat="1" applyFont="1" applyFill="1" applyBorder="1" applyAlignment="1">
      <alignment horizontal="center" vertical="top" wrapText="1"/>
    </xf>
    <xf numFmtId="1" fontId="5" fillId="8" borderId="9" xfId="0" applyNumberFormat="1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horizontal="left" vertical="top" wrapText="1"/>
    </xf>
    <xf numFmtId="20" fontId="5" fillId="16" borderId="1" xfId="0" applyNumberFormat="1" applyFont="1" applyFill="1" applyBorder="1" applyAlignment="1" quotePrefix="1">
      <alignment horizontal="center" vertical="top" wrapText="1"/>
    </xf>
    <xf numFmtId="20" fontId="5" fillId="8" borderId="1" xfId="0" applyNumberFormat="1" applyFont="1" applyFill="1" applyBorder="1" applyAlignment="1">
      <alignment horizontal="center" vertical="top"/>
    </xf>
    <xf numFmtId="2" fontId="5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vertical="top" wrapText="1"/>
    </xf>
    <xf numFmtId="20" fontId="5" fillId="8" borderId="7" xfId="0" applyNumberFormat="1" applyFont="1" applyFill="1" applyBorder="1" applyAlignment="1">
      <alignment horizontal="center" vertical="top"/>
    </xf>
    <xf numFmtId="0" fontId="5" fillId="8" borderId="7" xfId="0" applyFont="1" applyFill="1" applyBorder="1" applyAlignment="1">
      <alignment vertical="top" wrapText="1"/>
    </xf>
    <xf numFmtId="1" fontId="5" fillId="8" borderId="7" xfId="0" applyNumberFormat="1" applyFont="1" applyFill="1" applyBorder="1" applyAlignment="1">
      <alignment vertical="top" wrapText="1"/>
    </xf>
    <xf numFmtId="16" fontId="5" fillId="8" borderId="7" xfId="0" applyNumberFormat="1" applyFont="1" applyFill="1" applyBorder="1" applyAlignment="1">
      <alignment horizontal="center" vertical="top" wrapText="1"/>
    </xf>
    <xf numFmtId="20" fontId="5" fillId="8" borderId="7" xfId="0" applyNumberFormat="1" applyFont="1" applyFill="1" applyBorder="1" applyAlignment="1">
      <alignment horizontal="center" vertical="top" wrapText="1"/>
    </xf>
    <xf numFmtId="0" fontId="5" fillId="8" borderId="7" xfId="0" applyFont="1" applyFill="1" applyBorder="1" applyAlignment="1">
      <alignment horizontal="center" vertical="top" wrapText="1"/>
    </xf>
    <xf numFmtId="0" fontId="5" fillId="8" borderId="7" xfId="0" applyNumberFormat="1" applyFont="1" applyFill="1" applyBorder="1" applyAlignment="1">
      <alignment horizontal="center" vertical="top" wrapText="1"/>
    </xf>
    <xf numFmtId="2" fontId="5" fillId="8" borderId="7" xfId="0" applyNumberFormat="1" applyFont="1" applyFill="1" applyBorder="1" applyAlignment="1">
      <alignment horizontal="center" vertical="top" wrapText="1"/>
    </xf>
    <xf numFmtId="165" fontId="5" fillId="8" borderId="7" xfId="0" applyNumberFormat="1" applyFont="1" applyFill="1" applyBorder="1" applyAlignment="1">
      <alignment horizontal="center" vertical="top" wrapText="1"/>
    </xf>
    <xf numFmtId="49" fontId="5" fillId="8" borderId="7" xfId="0" applyNumberFormat="1" applyFont="1" applyFill="1" applyBorder="1" applyAlignment="1">
      <alignment horizontal="center" vertical="top" wrapText="1"/>
    </xf>
    <xf numFmtId="1" fontId="5" fillId="8" borderId="1" xfId="0" applyNumberFormat="1" applyFont="1" applyFill="1" applyBorder="1" applyAlignment="1">
      <alignment vertical="top" wrapText="1"/>
    </xf>
    <xf numFmtId="16" fontId="5" fillId="8" borderId="1" xfId="0" applyNumberFormat="1" applyFont="1" applyFill="1" applyBorder="1" applyAlignment="1">
      <alignment horizontal="center" vertical="top" wrapText="1"/>
    </xf>
    <xf numFmtId="20" fontId="5" fillId="8" borderId="1" xfId="0" applyNumberFormat="1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center" vertical="top" wrapText="1"/>
    </xf>
    <xf numFmtId="0" fontId="5" fillId="8" borderId="1" xfId="0" applyNumberFormat="1" applyFont="1" applyFill="1" applyBorder="1" applyAlignment="1">
      <alignment horizontal="center" vertical="top" wrapText="1"/>
    </xf>
    <xf numFmtId="2" fontId="5" fillId="8" borderId="1" xfId="0" applyNumberFormat="1" applyFont="1" applyFill="1" applyBorder="1" applyAlignment="1">
      <alignment horizontal="center" vertical="top" wrapText="1"/>
    </xf>
    <xf numFmtId="165" fontId="5" fillId="8" borderId="1" xfId="0" applyNumberFormat="1" applyFont="1" applyFill="1" applyBorder="1" applyAlignment="1">
      <alignment horizontal="center" vertical="top" wrapText="1"/>
    </xf>
    <xf numFmtId="49" fontId="5" fillId="8" borderId="1" xfId="0" applyNumberFormat="1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16" fontId="5" fillId="4" borderId="1" xfId="0" applyNumberFormat="1" applyFont="1" applyFill="1" applyBorder="1" applyAlignment="1">
      <alignment horizontal="center" vertical="top" wrapText="1"/>
    </xf>
    <xf numFmtId="20" fontId="5" fillId="4" borderId="1" xfId="0" applyNumberFormat="1" applyFont="1" applyFill="1" applyBorder="1" applyAlignment="1">
      <alignment horizontal="center" vertical="top" wrapText="1"/>
    </xf>
    <xf numFmtId="20" fontId="5" fillId="4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NumberFormat="1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16" fontId="5" fillId="5" borderId="1" xfId="0" applyNumberFormat="1" applyFont="1" applyFill="1" applyBorder="1" applyAlignment="1">
      <alignment horizontal="center" vertical="top" wrapText="1"/>
    </xf>
    <xf numFmtId="20" fontId="5" fillId="5" borderId="1" xfId="0" applyNumberFormat="1" applyFont="1" applyFill="1" applyBorder="1" applyAlignment="1">
      <alignment horizontal="center" vertical="top" wrapText="1"/>
    </xf>
    <xf numFmtId="20" fontId="5" fillId="5" borderId="1" xfId="0" applyNumberFormat="1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NumberFormat="1" applyFont="1" applyFill="1" applyBorder="1" applyAlignment="1">
      <alignment horizontal="center" vertical="top" wrapText="1"/>
    </xf>
    <xf numFmtId="165" fontId="5" fillId="5" borderId="1" xfId="0" applyNumberFormat="1" applyFont="1" applyFill="1" applyBorder="1" applyAlignment="1">
      <alignment horizontal="center" vertical="top" wrapText="1"/>
    </xf>
    <xf numFmtId="49" fontId="5" fillId="5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16" fontId="5" fillId="2" borderId="1" xfId="0" applyNumberFormat="1" applyFont="1" applyFill="1" applyBorder="1" applyAlignment="1">
      <alignment horizontal="center" vertical="top" wrapText="1"/>
    </xf>
    <xf numFmtId="20" fontId="5" fillId="2" borderId="1" xfId="0" applyNumberFormat="1" applyFont="1" applyFill="1" applyBorder="1" applyAlignment="1">
      <alignment horizontal="center" vertical="top" wrapText="1"/>
    </xf>
    <xf numFmtId="20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1" fontId="5" fillId="5" borderId="7" xfId="0" applyNumberFormat="1" applyFont="1" applyFill="1" applyBorder="1" applyAlignment="1">
      <alignment vertical="top" wrapText="1"/>
    </xf>
    <xf numFmtId="0" fontId="5" fillId="5" borderId="7" xfId="0" applyFont="1" applyFill="1" applyBorder="1" applyAlignment="1">
      <alignment vertical="top" wrapText="1"/>
    </xf>
    <xf numFmtId="16" fontId="5" fillId="5" borderId="7" xfId="0" applyNumberFormat="1" applyFont="1" applyFill="1" applyBorder="1" applyAlignment="1">
      <alignment horizontal="center" vertical="top" wrapText="1"/>
    </xf>
    <xf numFmtId="20" fontId="5" fillId="5" borderId="7" xfId="0" applyNumberFormat="1" applyFont="1" applyFill="1" applyBorder="1" applyAlignment="1">
      <alignment horizontal="center" vertical="top" wrapText="1"/>
    </xf>
    <xf numFmtId="20" fontId="5" fillId="5" borderId="7" xfId="0" applyNumberFormat="1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 wrapText="1"/>
    </xf>
    <xf numFmtId="0" fontId="5" fillId="5" borderId="7" xfId="0" applyNumberFormat="1" applyFont="1" applyFill="1" applyBorder="1" applyAlignment="1">
      <alignment horizontal="center" vertical="top" wrapText="1"/>
    </xf>
    <xf numFmtId="165" fontId="5" fillId="5" borderId="7" xfId="0" applyNumberFormat="1" applyFont="1" applyFill="1" applyBorder="1" applyAlignment="1">
      <alignment horizontal="center" vertical="top" wrapText="1"/>
    </xf>
    <xf numFmtId="49" fontId="5" fillId="5" borderId="7" xfId="0" applyNumberFormat="1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vertical="top" wrapText="1"/>
    </xf>
    <xf numFmtId="0" fontId="5" fillId="8" borderId="7" xfId="0" applyFont="1" applyFill="1" applyBorder="1" applyAlignment="1">
      <alignment vertical="top"/>
    </xf>
    <xf numFmtId="0" fontId="5" fillId="8" borderId="7" xfId="0" applyFont="1" applyFill="1" applyBorder="1" applyAlignment="1">
      <alignment horizontal="center" vertical="top"/>
    </xf>
    <xf numFmtId="0" fontId="5" fillId="8" borderId="1" xfId="0" applyFont="1" applyFill="1" applyBorder="1" applyAlignment="1">
      <alignment vertical="top"/>
    </xf>
    <xf numFmtId="0" fontId="5" fillId="8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20" fontId="5" fillId="5" borderId="14" xfId="0" applyNumberFormat="1" applyFont="1" applyFill="1" applyBorder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5" fillId="9" borderId="1" xfId="0" applyFont="1" applyFill="1" applyBorder="1" applyAlignment="1">
      <alignment vertical="top"/>
    </xf>
    <xf numFmtId="1" fontId="5" fillId="9" borderId="1" xfId="0" applyNumberFormat="1" applyFont="1" applyFill="1" applyBorder="1" applyAlignment="1">
      <alignment vertical="top" wrapText="1"/>
    </xf>
    <xf numFmtId="0" fontId="5" fillId="9" borderId="1" xfId="0" applyFont="1" applyFill="1" applyBorder="1" applyAlignment="1">
      <alignment vertical="top" wrapText="1"/>
    </xf>
    <xf numFmtId="16" fontId="5" fillId="9" borderId="1" xfId="0" applyNumberFormat="1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/>
    </xf>
    <xf numFmtId="20" fontId="5" fillId="9" borderId="1" xfId="0" applyNumberFormat="1" applyFont="1" applyFill="1" applyBorder="1" applyAlignment="1">
      <alignment horizontal="center" vertical="top"/>
    </xf>
    <xf numFmtId="20" fontId="5" fillId="9" borderId="1" xfId="0" applyNumberFormat="1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0" fontId="5" fillId="9" borderId="1" xfId="0" applyNumberFormat="1" applyFont="1" applyFill="1" applyBorder="1" applyAlignment="1">
      <alignment horizontal="center" vertical="top" wrapText="1"/>
    </xf>
    <xf numFmtId="49" fontId="5" fillId="9" borderId="1" xfId="0" applyNumberFormat="1" applyFont="1" applyFill="1" applyBorder="1" applyAlignment="1">
      <alignment horizontal="center" vertical="top" wrapText="1"/>
    </xf>
    <xf numFmtId="165" fontId="5" fillId="9" borderId="1" xfId="0" applyNumberFormat="1" applyFont="1" applyFill="1" applyBorder="1" applyAlignment="1">
      <alignment horizontal="center" vertical="top" wrapText="1"/>
    </xf>
    <xf numFmtId="0" fontId="6" fillId="17" borderId="0" xfId="0" applyFont="1" applyFill="1" applyBorder="1" applyAlignment="1">
      <alignment horizontal="center" vertical="top" wrapText="1"/>
    </xf>
    <xf numFmtId="0" fontId="6" fillId="17" borderId="0" xfId="0" applyFont="1" applyFill="1" applyBorder="1" applyAlignment="1">
      <alignment vertical="top" wrapText="1"/>
    </xf>
    <xf numFmtId="16" fontId="5" fillId="16" borderId="7" xfId="0" applyNumberFormat="1" applyFont="1" applyFill="1" applyBorder="1" applyAlignment="1">
      <alignment horizontal="center" vertical="top" wrapText="1"/>
    </xf>
    <xf numFmtId="49" fontId="5" fillId="16" borderId="7" xfId="0" applyNumberFormat="1" applyFont="1" applyFill="1" applyBorder="1" applyAlignment="1">
      <alignment horizontal="center" vertical="top" wrapText="1"/>
    </xf>
    <xf numFmtId="166" fontId="6" fillId="17" borderId="0" xfId="0" applyFont="1" applyFill="1" applyBorder="1" applyAlignment="1">
      <alignment horizontal="center" vertical="top"/>
    </xf>
    <xf numFmtId="0" fontId="6" fillId="17" borderId="0" xfId="0" applyFont="1" applyFill="1" applyBorder="1" applyAlignment="1">
      <alignment horizontal="center" vertical="top"/>
    </xf>
    <xf numFmtId="1" fontId="6" fillId="17" borderId="0" xfId="0" applyNumberFormat="1" applyFont="1" applyFill="1" applyBorder="1" applyAlignment="1">
      <alignment horizontal="center" vertical="top" wrapText="1"/>
    </xf>
    <xf numFmtId="2" fontId="6" fillId="17" borderId="0" xfId="0" applyFont="1" applyFill="1" applyBorder="1" applyAlignment="1">
      <alignment horizontal="center" vertical="top" wrapText="1"/>
    </xf>
    <xf numFmtId="165" fontId="5" fillId="16" borderId="7" xfId="0" applyNumberFormat="1" applyFont="1" applyFill="1" applyBorder="1" applyAlignment="1">
      <alignment horizontal="center" vertical="top" wrapText="1"/>
    </xf>
    <xf numFmtId="165" fontId="6" fillId="17" borderId="0" xfId="0" applyFont="1" applyFill="1" applyBorder="1" applyAlignment="1">
      <alignment horizontal="center" vertical="top" wrapText="1"/>
    </xf>
    <xf numFmtId="49" fontId="6" fillId="17" borderId="0" xfId="0" applyFont="1" applyFill="1" applyBorder="1" applyAlignment="1">
      <alignment horizontal="center" vertical="top" wrapText="1"/>
    </xf>
    <xf numFmtId="0" fontId="6" fillId="17" borderId="0" xfId="0" applyFont="1" applyFill="1" applyBorder="1" applyAlignment="1">
      <alignment horizontal="left" vertical="top" wrapText="1"/>
    </xf>
    <xf numFmtId="0" fontId="6" fillId="12" borderId="15" xfId="0" applyFont="1" applyFill="1" applyBorder="1" applyAlignment="1">
      <alignment horizontal="right" vertical="top" wrapText="1"/>
    </xf>
    <xf numFmtId="1" fontId="6" fillId="12" borderId="15" xfId="0" applyFont="1" applyFill="1" applyBorder="1" applyAlignment="1">
      <alignment vertical="top" wrapText="1"/>
    </xf>
    <xf numFmtId="0" fontId="6" fillId="12" borderId="15" xfId="0" applyFont="1" applyFill="1" applyBorder="1" applyAlignment="1">
      <alignment horizontal="center" vertical="top" wrapText="1"/>
    </xf>
    <xf numFmtId="16" fontId="6" fillId="12" borderId="15" xfId="0" applyNumberFormat="1" applyFont="1" applyFill="1" applyBorder="1" applyAlignment="1">
      <alignment horizontal="center" vertical="top" wrapText="1"/>
    </xf>
    <xf numFmtId="49" fontId="6" fillId="12" borderId="15" xfId="0" applyFont="1" applyFill="1" applyBorder="1" applyAlignment="1">
      <alignment horizontal="center" vertical="top" wrapText="1"/>
    </xf>
    <xf numFmtId="166" fontId="6" fillId="12" borderId="15" xfId="0" applyFont="1" applyFill="1" applyBorder="1" applyAlignment="1">
      <alignment horizontal="center" vertical="top" wrapText="1"/>
    </xf>
    <xf numFmtId="166" fontId="6" fillId="12" borderId="15" xfId="0" applyFont="1" applyFill="1" applyBorder="1" applyAlignment="1">
      <alignment horizontal="center" vertical="top"/>
    </xf>
    <xf numFmtId="1" fontId="6" fillId="12" borderId="15" xfId="0" applyNumberFormat="1" applyFont="1" applyFill="1" applyBorder="1" applyAlignment="1">
      <alignment horizontal="center" vertical="top" wrapText="1"/>
    </xf>
    <xf numFmtId="2" fontId="6" fillId="12" borderId="15" xfId="0" applyFont="1" applyFill="1" applyBorder="1" applyAlignment="1">
      <alignment horizontal="center" vertical="top" wrapText="1"/>
    </xf>
    <xf numFmtId="0" fontId="6" fillId="12" borderId="15" xfId="0" applyFont="1" applyFill="1" applyBorder="1" applyAlignment="1">
      <alignment vertical="top" wrapText="1"/>
    </xf>
    <xf numFmtId="0" fontId="6" fillId="12" borderId="16" xfId="0" applyFont="1" applyFill="1" applyBorder="1" applyAlignment="1">
      <alignment horizontal="right" vertical="top" wrapText="1"/>
    </xf>
    <xf numFmtId="1" fontId="6" fillId="12" borderId="16" xfId="0" applyFont="1" applyFill="1" applyBorder="1" applyAlignment="1">
      <alignment vertical="top" wrapText="1"/>
    </xf>
    <xf numFmtId="0" fontId="6" fillId="12" borderId="16" xfId="0" applyFont="1" applyFill="1" applyBorder="1" applyAlignment="1">
      <alignment horizontal="center" vertical="top" wrapText="1"/>
    </xf>
    <xf numFmtId="16" fontId="6" fillId="12" borderId="16" xfId="0" applyNumberFormat="1" applyFont="1" applyFill="1" applyBorder="1" applyAlignment="1">
      <alignment horizontal="center" vertical="top" wrapText="1"/>
    </xf>
    <xf numFmtId="49" fontId="6" fillId="12" borderId="16" xfId="0" applyFont="1" applyFill="1" applyBorder="1" applyAlignment="1">
      <alignment horizontal="center" vertical="top" wrapText="1"/>
    </xf>
    <xf numFmtId="166" fontId="6" fillId="12" borderId="16" xfId="0" applyFont="1" applyFill="1" applyBorder="1" applyAlignment="1">
      <alignment horizontal="center" vertical="top" wrapText="1"/>
    </xf>
    <xf numFmtId="166" fontId="6" fillId="12" borderId="16" xfId="0" applyFont="1" applyFill="1" applyBorder="1" applyAlignment="1">
      <alignment horizontal="center" vertical="top"/>
    </xf>
    <xf numFmtId="1" fontId="6" fillId="12" borderId="16" xfId="0" applyNumberFormat="1" applyFont="1" applyFill="1" applyBorder="1" applyAlignment="1">
      <alignment horizontal="center" vertical="top" wrapText="1"/>
    </xf>
    <xf numFmtId="2" fontId="6" fillId="12" borderId="16" xfId="0" applyFont="1" applyFill="1" applyBorder="1" applyAlignment="1">
      <alignment horizontal="center" vertical="top" wrapText="1"/>
    </xf>
    <xf numFmtId="0" fontId="6" fillId="12" borderId="16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1" customWidth="1"/>
    <col min="2" max="2" width="5.140625" style="2" customWidth="1"/>
    <col min="3" max="3" width="6.140625" style="1" customWidth="1"/>
    <col min="4" max="4" width="6.8515625" style="4" customWidth="1"/>
    <col min="5" max="5" width="4.8515625" style="5" customWidth="1"/>
    <col min="6" max="6" width="6.140625" style="4" customWidth="1"/>
    <col min="7" max="7" width="6.421875" style="4" customWidth="1"/>
    <col min="8" max="8" width="6.28125" style="6" customWidth="1"/>
    <col min="9" max="9" width="4.7109375" style="4" customWidth="1"/>
    <col min="10" max="10" width="4.7109375" style="7" customWidth="1"/>
    <col min="11" max="11" width="5.8515625" style="261" customWidth="1"/>
    <col min="12" max="12" width="5.8515625" style="4" customWidth="1"/>
    <col min="13" max="13" width="7.8515625" style="4" customWidth="1"/>
    <col min="14" max="14" width="5.421875" style="4" customWidth="1"/>
    <col min="15" max="15" width="6.28125" style="8" customWidth="1"/>
    <col min="16" max="18" width="5.8515625" style="9" customWidth="1"/>
    <col min="19" max="19" width="5.28125" style="5" customWidth="1"/>
    <col min="20" max="20" width="5.8515625" style="9" customWidth="1"/>
    <col min="21" max="21" width="27.421875" style="10" customWidth="1"/>
    <col min="22" max="22" width="9.140625" style="1" customWidth="1"/>
    <col min="23" max="23" width="11.421875" style="0" customWidth="1"/>
    <col min="24" max="16384" width="9.140625" style="3" customWidth="1"/>
  </cols>
  <sheetData>
    <row r="1" spans="1:22" ht="63.75">
      <c r="A1" s="13" t="s">
        <v>264</v>
      </c>
      <c r="B1" s="14" t="s">
        <v>266</v>
      </c>
      <c r="C1" s="13" t="s">
        <v>267</v>
      </c>
      <c r="D1" s="15" t="s">
        <v>268</v>
      </c>
      <c r="E1" s="16" t="s">
        <v>269</v>
      </c>
      <c r="F1" s="15" t="s">
        <v>270</v>
      </c>
      <c r="G1" s="15" t="s">
        <v>271</v>
      </c>
      <c r="H1" s="17" t="s">
        <v>265</v>
      </c>
      <c r="I1" s="15" t="s">
        <v>257</v>
      </c>
      <c r="J1" s="18" t="s">
        <v>258</v>
      </c>
      <c r="K1" s="262" t="s">
        <v>208</v>
      </c>
      <c r="L1" s="96" t="s">
        <v>209</v>
      </c>
      <c r="M1" s="15" t="s">
        <v>259</v>
      </c>
      <c r="N1" s="15" t="s">
        <v>260</v>
      </c>
      <c r="O1" s="19" t="s">
        <v>261</v>
      </c>
      <c r="P1" s="20" t="s">
        <v>224</v>
      </c>
      <c r="Q1" s="20" t="s">
        <v>280</v>
      </c>
      <c r="R1" s="20" t="s">
        <v>272</v>
      </c>
      <c r="S1" s="16" t="s">
        <v>255</v>
      </c>
      <c r="T1" s="20" t="s">
        <v>210</v>
      </c>
      <c r="U1" s="21" t="s">
        <v>256</v>
      </c>
      <c r="V1" s="63" t="s">
        <v>281</v>
      </c>
    </row>
    <row r="2" spans="1:22" ht="25.5">
      <c r="A2" s="121" t="s">
        <v>395</v>
      </c>
      <c r="B2" s="122"/>
      <c r="C2" s="123" t="s">
        <v>282</v>
      </c>
      <c r="D2" s="124">
        <v>36584</v>
      </c>
      <c r="E2" s="125" t="s">
        <v>396</v>
      </c>
      <c r="F2" s="126">
        <v>0.010416666666666666</v>
      </c>
      <c r="G2" s="126">
        <v>0.011805555555555555</v>
      </c>
      <c r="H2" s="126">
        <f aca="true" t="shared" si="0" ref="H2:H8">SUM(F2:G2)</f>
        <v>0.02222222222222222</v>
      </c>
      <c r="I2" s="127" t="s">
        <v>397</v>
      </c>
      <c r="J2" s="127">
        <v>8</v>
      </c>
      <c r="K2" s="263">
        <v>6</v>
      </c>
      <c r="L2" s="122">
        <v>27</v>
      </c>
      <c r="M2" s="122">
        <v>4</v>
      </c>
      <c r="N2" s="122">
        <v>2.5</v>
      </c>
      <c r="O2" s="128">
        <f>K2*1625088/N2/(1024*1024)</f>
        <v>3.71953125</v>
      </c>
      <c r="P2" s="129">
        <f aca="true" t="shared" si="1" ref="P2:P15">O2*126.31/3600</f>
        <v>0.13050388671875002</v>
      </c>
      <c r="Q2" s="129">
        <f>O2*63/3600</f>
        <v>0.06509179687500001</v>
      </c>
      <c r="R2" s="129">
        <f aca="true" t="shared" si="2" ref="R2:R15">O2*42.139/3600</f>
        <v>0.043538146484375005</v>
      </c>
      <c r="S2" s="130" t="s">
        <v>223</v>
      </c>
      <c r="T2" s="130" t="s">
        <v>211</v>
      </c>
      <c r="U2" s="131" t="s">
        <v>398</v>
      </c>
      <c r="V2" s="122" t="s">
        <v>107</v>
      </c>
    </row>
    <row r="3" spans="1:22" ht="25.5">
      <c r="A3" s="132" t="s">
        <v>413</v>
      </c>
      <c r="B3" s="133"/>
      <c r="C3" s="132" t="s">
        <v>263</v>
      </c>
      <c r="D3" s="134">
        <v>36584</v>
      </c>
      <c r="E3" s="135" t="s">
        <v>396</v>
      </c>
      <c r="F3" s="136">
        <v>0.125</v>
      </c>
      <c r="G3" s="136">
        <v>0.041666666666666664</v>
      </c>
      <c r="H3" s="137">
        <f t="shared" si="0"/>
        <v>0.16666666666666666</v>
      </c>
      <c r="I3" s="133"/>
      <c r="J3" s="133"/>
      <c r="K3" s="264">
        <v>100</v>
      </c>
      <c r="L3" s="133">
        <v>10</v>
      </c>
      <c r="M3" s="133"/>
      <c r="N3" s="133"/>
      <c r="O3" s="107">
        <f>K3*2864/2.5/1000000</f>
        <v>0.11456</v>
      </c>
      <c r="P3" s="108">
        <f t="shared" si="1"/>
        <v>0.004019464888888889</v>
      </c>
      <c r="Q3" s="108">
        <f>O3*1000/17.6/3600</f>
        <v>0.001808080808080808</v>
      </c>
      <c r="R3" s="108">
        <f t="shared" si="2"/>
        <v>0.0013409566222222222</v>
      </c>
      <c r="S3" s="135" t="s">
        <v>223</v>
      </c>
      <c r="T3" s="135" t="s">
        <v>414</v>
      </c>
      <c r="U3" s="132" t="s">
        <v>415</v>
      </c>
      <c r="V3" s="133" t="s">
        <v>107</v>
      </c>
    </row>
    <row r="4" spans="1:22" ht="25.5">
      <c r="A4" s="77" t="s">
        <v>151</v>
      </c>
      <c r="B4" s="78"/>
      <c r="C4" s="79" t="s">
        <v>282</v>
      </c>
      <c r="D4" s="119">
        <v>36584</v>
      </c>
      <c r="E4" s="120" t="s">
        <v>396</v>
      </c>
      <c r="F4" s="80">
        <v>0.25</v>
      </c>
      <c r="G4" s="80">
        <v>0.011805555555555555</v>
      </c>
      <c r="H4" s="80">
        <f t="shared" si="0"/>
        <v>0.26180555555555557</v>
      </c>
      <c r="I4" s="81" t="s">
        <v>397</v>
      </c>
      <c r="J4" s="81">
        <v>8</v>
      </c>
      <c r="K4" s="265">
        <v>6</v>
      </c>
      <c r="L4" s="78">
        <v>27</v>
      </c>
      <c r="M4" s="78">
        <v>4</v>
      </c>
      <c r="N4" s="78">
        <v>2.5</v>
      </c>
      <c r="O4" s="82">
        <f aca="true" t="shared" si="3" ref="O4:O9">K4*1625088/N4/(1024*1024)</f>
        <v>3.71953125</v>
      </c>
      <c r="P4" s="83">
        <f t="shared" si="1"/>
        <v>0.13050388671875002</v>
      </c>
      <c r="Q4" s="83">
        <f aca="true" t="shared" si="4" ref="Q4:Q14">O4*63/3600</f>
        <v>0.06509179687500001</v>
      </c>
      <c r="R4" s="83">
        <f t="shared" si="2"/>
        <v>0.043538146484375005</v>
      </c>
      <c r="S4" s="84" t="s">
        <v>223</v>
      </c>
      <c r="T4" s="84" t="s">
        <v>211</v>
      </c>
      <c r="U4" s="131" t="s">
        <v>398</v>
      </c>
      <c r="V4" s="78" t="s">
        <v>107</v>
      </c>
    </row>
    <row r="5" spans="1:22" ht="25.5">
      <c r="A5" s="77" t="s">
        <v>152</v>
      </c>
      <c r="B5" s="78"/>
      <c r="C5" s="79" t="s">
        <v>282</v>
      </c>
      <c r="D5" s="119">
        <v>36584</v>
      </c>
      <c r="E5" s="120" t="s">
        <v>396</v>
      </c>
      <c r="F5" s="80">
        <v>0.3958333333333333</v>
      </c>
      <c r="G5" s="80">
        <v>0.006944444444444444</v>
      </c>
      <c r="H5" s="80">
        <f t="shared" si="0"/>
        <v>0.40277777777777773</v>
      </c>
      <c r="I5" s="78"/>
      <c r="J5" s="81">
        <v>12</v>
      </c>
      <c r="K5" s="265">
        <v>4</v>
      </c>
      <c r="L5" s="78">
        <v>29</v>
      </c>
      <c r="M5" s="78">
        <v>0</v>
      </c>
      <c r="N5" s="78">
        <v>2.5</v>
      </c>
      <c r="O5" s="82">
        <f t="shared" si="3"/>
        <v>2.4796875</v>
      </c>
      <c r="P5" s="83">
        <f t="shared" si="1"/>
        <v>0.08700259114583332</v>
      </c>
      <c r="Q5" s="83">
        <f t="shared" si="4"/>
        <v>0.04339453124999999</v>
      </c>
      <c r="R5" s="83">
        <f t="shared" si="2"/>
        <v>0.02902543098958333</v>
      </c>
      <c r="S5" s="84" t="s">
        <v>223</v>
      </c>
      <c r="T5" s="84" t="s">
        <v>37</v>
      </c>
      <c r="U5" s="79" t="s">
        <v>305</v>
      </c>
      <c r="V5" s="78" t="s">
        <v>107</v>
      </c>
    </row>
    <row r="6" spans="1:22" ht="25.5">
      <c r="A6" s="79" t="s">
        <v>153</v>
      </c>
      <c r="B6" s="78"/>
      <c r="C6" s="79" t="s">
        <v>282</v>
      </c>
      <c r="D6" s="138">
        <v>36584</v>
      </c>
      <c r="E6" s="84" t="s">
        <v>396</v>
      </c>
      <c r="F6" s="139">
        <v>0.4270833333333333</v>
      </c>
      <c r="G6" s="80">
        <v>0.020833333333333332</v>
      </c>
      <c r="H6" s="80">
        <f t="shared" si="0"/>
        <v>0.44791666666666663</v>
      </c>
      <c r="I6" s="78"/>
      <c r="J6" s="78">
        <v>8</v>
      </c>
      <c r="K6" s="265">
        <v>16</v>
      </c>
      <c r="L6" s="78">
        <v>18</v>
      </c>
      <c r="M6" s="78">
        <v>4</v>
      </c>
      <c r="N6" s="78">
        <v>2.5</v>
      </c>
      <c r="O6" s="82">
        <f t="shared" si="3"/>
        <v>9.91875</v>
      </c>
      <c r="P6" s="83">
        <f t="shared" si="1"/>
        <v>0.3480103645833333</v>
      </c>
      <c r="Q6" s="83">
        <f t="shared" si="4"/>
        <v>0.17357812499999997</v>
      </c>
      <c r="R6" s="83">
        <f t="shared" si="2"/>
        <v>0.11610172395833332</v>
      </c>
      <c r="S6" s="84" t="s">
        <v>223</v>
      </c>
      <c r="T6" s="84" t="s">
        <v>211</v>
      </c>
      <c r="U6" s="79" t="s">
        <v>154</v>
      </c>
      <c r="V6" s="78" t="s">
        <v>107</v>
      </c>
    </row>
    <row r="7" spans="1:22" ht="25.5">
      <c r="A7" s="77" t="s">
        <v>155</v>
      </c>
      <c r="B7" s="78"/>
      <c r="C7" s="79" t="s">
        <v>282</v>
      </c>
      <c r="D7" s="119">
        <v>36584</v>
      </c>
      <c r="E7" s="120" t="s">
        <v>396</v>
      </c>
      <c r="F7" s="80">
        <v>0.5416666666666666</v>
      </c>
      <c r="G7" s="80">
        <v>0.011805555555555555</v>
      </c>
      <c r="H7" s="80">
        <f t="shared" si="0"/>
        <v>0.5534722222222221</v>
      </c>
      <c r="I7" s="81" t="s">
        <v>397</v>
      </c>
      <c r="J7" s="81">
        <v>8</v>
      </c>
      <c r="K7" s="265">
        <v>6</v>
      </c>
      <c r="L7" s="78">
        <v>27</v>
      </c>
      <c r="M7" s="78">
        <v>4</v>
      </c>
      <c r="N7" s="78">
        <v>2.5</v>
      </c>
      <c r="O7" s="82">
        <f t="shared" si="3"/>
        <v>3.71953125</v>
      </c>
      <c r="P7" s="83">
        <f t="shared" si="1"/>
        <v>0.13050388671875002</v>
      </c>
      <c r="Q7" s="83">
        <f t="shared" si="4"/>
        <v>0.06509179687500001</v>
      </c>
      <c r="R7" s="83">
        <f t="shared" si="2"/>
        <v>0.043538146484375005</v>
      </c>
      <c r="S7" s="84" t="s">
        <v>223</v>
      </c>
      <c r="T7" s="84" t="s">
        <v>211</v>
      </c>
      <c r="U7" s="131" t="s">
        <v>398</v>
      </c>
      <c r="V7" s="78" t="s">
        <v>107</v>
      </c>
    </row>
    <row r="8" spans="1:22" ht="25.5">
      <c r="A8" s="79" t="s">
        <v>156</v>
      </c>
      <c r="B8" s="78"/>
      <c r="C8" s="79" t="s">
        <v>282</v>
      </c>
      <c r="D8" s="138">
        <v>36585</v>
      </c>
      <c r="E8" s="84" t="s">
        <v>157</v>
      </c>
      <c r="F8" s="139">
        <v>0.08333333333333333</v>
      </c>
      <c r="G8" s="80">
        <v>0.020833333333333332</v>
      </c>
      <c r="H8" s="80">
        <f t="shared" si="0"/>
        <v>0.10416666666666666</v>
      </c>
      <c r="I8" s="78"/>
      <c r="J8" s="78">
        <v>8</v>
      </c>
      <c r="K8" s="265">
        <v>16</v>
      </c>
      <c r="L8" s="78">
        <v>18</v>
      </c>
      <c r="M8" s="78">
        <v>4</v>
      </c>
      <c r="N8" s="78">
        <v>2.5</v>
      </c>
      <c r="O8" s="82">
        <f t="shared" si="3"/>
        <v>9.91875</v>
      </c>
      <c r="P8" s="83">
        <f t="shared" si="1"/>
        <v>0.3480103645833333</v>
      </c>
      <c r="Q8" s="83">
        <f t="shared" si="4"/>
        <v>0.17357812499999997</v>
      </c>
      <c r="R8" s="83">
        <f t="shared" si="2"/>
        <v>0.11610172395833332</v>
      </c>
      <c r="S8" s="84" t="s">
        <v>223</v>
      </c>
      <c r="T8" s="84" t="s">
        <v>211</v>
      </c>
      <c r="U8" s="79" t="s">
        <v>158</v>
      </c>
      <c r="V8" s="78" t="s">
        <v>107</v>
      </c>
    </row>
    <row r="9" spans="1:22" ht="25.5">
      <c r="A9" s="77" t="s">
        <v>174</v>
      </c>
      <c r="B9" s="78"/>
      <c r="C9" s="79" t="s">
        <v>282</v>
      </c>
      <c r="D9" s="119">
        <v>36585</v>
      </c>
      <c r="E9" s="120" t="s">
        <v>157</v>
      </c>
      <c r="F9" s="80">
        <v>0.125</v>
      </c>
      <c r="G9" s="80">
        <v>0.006944444444444444</v>
      </c>
      <c r="H9" s="80">
        <f aca="true" t="shared" si="5" ref="H9:H44">SUM(F9:G9)</f>
        <v>0.13194444444444445</v>
      </c>
      <c r="I9" s="78"/>
      <c r="J9" s="81">
        <v>12</v>
      </c>
      <c r="K9" s="265">
        <v>4</v>
      </c>
      <c r="L9" s="78">
        <v>29</v>
      </c>
      <c r="M9" s="78">
        <v>0</v>
      </c>
      <c r="N9" s="78">
        <v>2.5</v>
      </c>
      <c r="O9" s="82">
        <f t="shared" si="3"/>
        <v>2.4796875</v>
      </c>
      <c r="P9" s="83">
        <f t="shared" si="1"/>
        <v>0.08700259114583332</v>
      </c>
      <c r="Q9" s="83">
        <f t="shared" si="4"/>
        <v>0.04339453124999999</v>
      </c>
      <c r="R9" s="83">
        <f t="shared" si="2"/>
        <v>0.02902543098958333</v>
      </c>
      <c r="S9" s="84" t="s">
        <v>223</v>
      </c>
      <c r="T9" s="84" t="s">
        <v>37</v>
      </c>
      <c r="U9" s="79" t="s">
        <v>305</v>
      </c>
      <c r="V9" s="78" t="s">
        <v>107</v>
      </c>
    </row>
    <row r="10" spans="1:22" ht="25.5">
      <c r="A10" s="77" t="s">
        <v>175</v>
      </c>
      <c r="B10" s="78"/>
      <c r="C10" s="79" t="s">
        <v>282</v>
      </c>
      <c r="D10" s="119">
        <v>36585</v>
      </c>
      <c r="E10" s="120" t="s">
        <v>157</v>
      </c>
      <c r="F10" s="80">
        <v>0.19791666666666666</v>
      </c>
      <c r="G10" s="80">
        <v>0.011805555555555555</v>
      </c>
      <c r="H10" s="80">
        <f>SUM(F10:G10)</f>
        <v>0.2097222222222222</v>
      </c>
      <c r="I10" s="81" t="s">
        <v>397</v>
      </c>
      <c r="J10" s="81">
        <v>8</v>
      </c>
      <c r="K10" s="265">
        <v>9</v>
      </c>
      <c r="L10" s="78">
        <v>27</v>
      </c>
      <c r="M10" s="78">
        <v>4</v>
      </c>
      <c r="N10" s="78">
        <v>2.5</v>
      </c>
      <c r="O10" s="82">
        <f>K10*1625088/N10/(1024*1024)</f>
        <v>5.579296875</v>
      </c>
      <c r="P10" s="83">
        <f t="shared" si="1"/>
        <v>0.195755830078125</v>
      </c>
      <c r="Q10" s="83">
        <f t="shared" si="4"/>
        <v>0.0976376953125</v>
      </c>
      <c r="R10" s="83">
        <f t="shared" si="2"/>
        <v>0.0653072197265625</v>
      </c>
      <c r="S10" s="84" t="s">
        <v>223</v>
      </c>
      <c r="T10" s="84" t="s">
        <v>211</v>
      </c>
      <c r="U10" s="131" t="s">
        <v>74</v>
      </c>
      <c r="V10" s="78" t="s">
        <v>107</v>
      </c>
    </row>
    <row r="11" spans="1:22" ht="12.75">
      <c r="A11" s="140" t="s">
        <v>75</v>
      </c>
      <c r="B11" s="141">
        <v>63</v>
      </c>
      <c r="C11" s="142"/>
      <c r="D11" s="143">
        <v>36585</v>
      </c>
      <c r="E11" s="144" t="s">
        <v>157</v>
      </c>
      <c r="F11" s="145">
        <v>0.22916666666666666</v>
      </c>
      <c r="G11" s="145">
        <v>0.14583333333333334</v>
      </c>
      <c r="H11" s="146">
        <f>SUM(F11:G11)</f>
        <v>0.375</v>
      </c>
      <c r="I11" s="142"/>
      <c r="J11" s="142"/>
      <c r="K11" s="266"/>
      <c r="L11" s="142"/>
      <c r="M11" s="142"/>
      <c r="N11" s="142"/>
      <c r="O11" s="147">
        <f>SUM(O2:O10)</f>
        <v>41.64932562499999</v>
      </c>
      <c r="P11" s="147">
        <f>SUM(P2:P10)</f>
        <v>1.4613128665815973</v>
      </c>
      <c r="Q11" s="147">
        <f>SUM(Q2:Q10)</f>
        <v>0.7286664792455808</v>
      </c>
      <c r="R11" s="147">
        <f>SUM(R2:R10)</f>
        <v>0.4875169256977431</v>
      </c>
      <c r="S11" s="144"/>
      <c r="T11" s="144"/>
      <c r="U11" s="148"/>
      <c r="V11" s="148"/>
    </row>
    <row r="12" spans="1:22" ht="25.5">
      <c r="A12" s="77" t="s">
        <v>100</v>
      </c>
      <c r="B12" s="78"/>
      <c r="C12" s="79" t="s">
        <v>282</v>
      </c>
      <c r="D12" s="119">
        <v>36585</v>
      </c>
      <c r="E12" s="120" t="s">
        <v>157</v>
      </c>
      <c r="F12" s="80">
        <v>0.3923611111111111</v>
      </c>
      <c r="G12" s="80">
        <v>0.011805555555555555</v>
      </c>
      <c r="H12" s="80">
        <f>SUM(F12:G12)</f>
        <v>0.4041666666666667</v>
      </c>
      <c r="I12" s="81" t="s">
        <v>397</v>
      </c>
      <c r="J12" s="81">
        <v>8</v>
      </c>
      <c r="K12" s="265">
        <v>9</v>
      </c>
      <c r="L12" s="78">
        <v>27</v>
      </c>
      <c r="M12" s="78">
        <v>4</v>
      </c>
      <c r="N12" s="78">
        <v>2.5</v>
      </c>
      <c r="O12" s="82">
        <f>K12*1625088/N12/(1024*1024)</f>
        <v>5.579296875</v>
      </c>
      <c r="P12" s="83">
        <f t="shared" si="1"/>
        <v>0.195755830078125</v>
      </c>
      <c r="Q12" s="83">
        <f t="shared" si="4"/>
        <v>0.0976376953125</v>
      </c>
      <c r="R12" s="83">
        <f t="shared" si="2"/>
        <v>0.0653072197265625</v>
      </c>
      <c r="S12" s="84" t="s">
        <v>223</v>
      </c>
      <c r="T12" s="84" t="s">
        <v>211</v>
      </c>
      <c r="U12" s="131" t="s">
        <v>74</v>
      </c>
      <c r="V12" s="78" t="s">
        <v>107</v>
      </c>
    </row>
    <row r="13" spans="1:22" ht="51">
      <c r="A13" s="149" t="s">
        <v>101</v>
      </c>
      <c r="B13" s="150" t="s">
        <v>102</v>
      </c>
      <c r="C13" s="149" t="s">
        <v>222</v>
      </c>
      <c r="D13" s="151">
        <v>36585</v>
      </c>
      <c r="E13" s="152" t="s">
        <v>157</v>
      </c>
      <c r="F13" s="153">
        <v>0.4166666666666667</v>
      </c>
      <c r="G13" s="153">
        <v>0.22916666666666666</v>
      </c>
      <c r="H13" s="154">
        <f>SUM(F13:G13)</f>
        <v>0.6458333333333334</v>
      </c>
      <c r="I13" s="150" t="s">
        <v>102</v>
      </c>
      <c r="J13" s="155">
        <v>12</v>
      </c>
      <c r="K13" s="267">
        <v>168</v>
      </c>
      <c r="L13" s="155">
        <v>22</v>
      </c>
      <c r="M13" s="155" t="s">
        <v>103</v>
      </c>
      <c r="N13" s="155">
        <v>1</v>
      </c>
      <c r="O13" s="156">
        <f>K13*1625088/N13/(1024*1024)</f>
        <v>260.3671875</v>
      </c>
      <c r="P13" s="157">
        <f t="shared" si="1"/>
        <v>9.1352720703125</v>
      </c>
      <c r="Q13" s="157">
        <f t="shared" si="4"/>
        <v>4.55642578125</v>
      </c>
      <c r="R13" s="157">
        <f t="shared" si="2"/>
        <v>3.0476702539062503</v>
      </c>
      <c r="S13" s="152" t="s">
        <v>223</v>
      </c>
      <c r="T13" s="152" t="s">
        <v>211</v>
      </c>
      <c r="U13" s="149" t="s">
        <v>285</v>
      </c>
      <c r="V13" s="150" t="s">
        <v>107</v>
      </c>
    </row>
    <row r="14" spans="1:22" ht="13.5" customHeight="1">
      <c r="A14" s="149"/>
      <c r="B14" s="158"/>
      <c r="C14" s="149"/>
      <c r="D14" s="151"/>
      <c r="E14" s="152"/>
      <c r="F14" s="153"/>
      <c r="G14" s="153"/>
      <c r="H14" s="154"/>
      <c r="I14" s="155"/>
      <c r="J14" s="155">
        <v>12</v>
      </c>
      <c r="K14" s="267">
        <v>168</v>
      </c>
      <c r="L14" s="155">
        <v>21</v>
      </c>
      <c r="M14" s="159" t="s">
        <v>103</v>
      </c>
      <c r="N14" s="155">
        <v>1.9</v>
      </c>
      <c r="O14" s="156">
        <f>K14*1625088/N14/(1024*1024)</f>
        <v>137.03536184210526</v>
      </c>
      <c r="P14" s="157">
        <f t="shared" si="1"/>
        <v>4.808037931743421</v>
      </c>
      <c r="Q14" s="157">
        <f t="shared" si="4"/>
        <v>2.3981188322368423</v>
      </c>
      <c r="R14" s="157">
        <f t="shared" si="2"/>
        <v>1.6040369757401318</v>
      </c>
      <c r="S14" s="152" t="s">
        <v>223</v>
      </c>
      <c r="T14" s="152" t="s">
        <v>211</v>
      </c>
      <c r="U14" s="149" t="s">
        <v>212</v>
      </c>
      <c r="V14" s="150" t="s">
        <v>107</v>
      </c>
    </row>
    <row r="15" spans="1:22" ht="25.5">
      <c r="A15" s="77" t="s">
        <v>286</v>
      </c>
      <c r="B15" s="78"/>
      <c r="C15" s="79" t="s">
        <v>282</v>
      </c>
      <c r="D15" s="119">
        <v>36585</v>
      </c>
      <c r="E15" s="120" t="s">
        <v>157</v>
      </c>
      <c r="F15" s="80">
        <v>0.65625</v>
      </c>
      <c r="G15" s="80">
        <v>0.011805555555555555</v>
      </c>
      <c r="H15" s="80">
        <f t="shared" si="5"/>
        <v>0.6680555555555555</v>
      </c>
      <c r="I15" s="81" t="s">
        <v>287</v>
      </c>
      <c r="J15" s="81">
        <v>8</v>
      </c>
      <c r="K15" s="265">
        <v>9</v>
      </c>
      <c r="L15" s="78">
        <v>27</v>
      </c>
      <c r="M15" s="78">
        <v>4</v>
      </c>
      <c r="N15" s="78">
        <v>2.5</v>
      </c>
      <c r="O15" s="82">
        <f>2*K15*1625088/N15/(1024*1024)</f>
        <v>11.15859375</v>
      </c>
      <c r="P15" s="83">
        <f t="shared" si="1"/>
        <v>0.39151166015625</v>
      </c>
      <c r="Q15" s="83">
        <f>O15*63/3600</f>
        <v>0.195275390625</v>
      </c>
      <c r="R15" s="83">
        <f t="shared" si="2"/>
        <v>0.130614439453125</v>
      </c>
      <c r="S15" s="84" t="s">
        <v>223</v>
      </c>
      <c r="T15" s="84" t="s">
        <v>211</v>
      </c>
      <c r="U15" s="131" t="s">
        <v>74</v>
      </c>
      <c r="V15" s="78" t="s">
        <v>107</v>
      </c>
    </row>
    <row r="16" spans="1:22" ht="12.75">
      <c r="A16" s="140" t="s">
        <v>75</v>
      </c>
      <c r="B16" s="141">
        <v>43</v>
      </c>
      <c r="C16" s="142"/>
      <c r="D16" s="143">
        <v>36585</v>
      </c>
      <c r="E16" s="144" t="s">
        <v>157</v>
      </c>
      <c r="F16" s="145">
        <v>0.6770833333333334</v>
      </c>
      <c r="G16" s="145">
        <v>0.2673611111111111</v>
      </c>
      <c r="H16" s="146">
        <f>SUM(F16:G16)</f>
        <v>0.9444444444444444</v>
      </c>
      <c r="I16" s="142"/>
      <c r="J16" s="142"/>
      <c r="K16" s="266"/>
      <c r="L16" s="142"/>
      <c r="M16" s="142"/>
      <c r="N16" s="142"/>
      <c r="O16" s="147">
        <f>SUM(O12:O15)</f>
        <v>414.1404399671053</v>
      </c>
      <c r="P16" s="147">
        <f>SUM(P12:P15)</f>
        <v>14.530577492290295</v>
      </c>
      <c r="Q16" s="147">
        <f>SUM(Q12:Q15)</f>
        <v>7.247457699424341</v>
      </c>
      <c r="R16" s="147">
        <f>SUM(R12:R15)</f>
        <v>4.84762888882607</v>
      </c>
      <c r="S16" s="144"/>
      <c r="T16" s="144"/>
      <c r="U16" s="148"/>
      <c r="V16" s="148"/>
    </row>
    <row r="17" spans="1:22" ht="25.5">
      <c r="A17" s="77" t="s">
        <v>15</v>
      </c>
      <c r="B17" s="78"/>
      <c r="C17" s="79" t="s">
        <v>282</v>
      </c>
      <c r="D17" s="119">
        <v>36585</v>
      </c>
      <c r="E17" s="120" t="s">
        <v>157</v>
      </c>
      <c r="F17" s="80">
        <v>0.9479166666666666</v>
      </c>
      <c r="G17" s="80">
        <v>0.011805555555555555</v>
      </c>
      <c r="H17" s="80">
        <f t="shared" si="5"/>
        <v>0.9597222222222221</v>
      </c>
      <c r="I17" s="81" t="s">
        <v>397</v>
      </c>
      <c r="J17" s="81">
        <v>8</v>
      </c>
      <c r="K17" s="265">
        <v>9</v>
      </c>
      <c r="L17" s="78">
        <v>27</v>
      </c>
      <c r="M17" s="78">
        <v>4</v>
      </c>
      <c r="N17" s="78">
        <v>2.5</v>
      </c>
      <c r="O17" s="82">
        <f>K17*1625088/N17/(1024*1024)</f>
        <v>5.579296875</v>
      </c>
      <c r="P17" s="83">
        <f aca="true" t="shared" si="6" ref="P17:P22">O17*126.31/3600</f>
        <v>0.195755830078125</v>
      </c>
      <c r="Q17" s="83">
        <f aca="true" t="shared" si="7" ref="Q17:Q22">O17*63/3600</f>
        <v>0.0976376953125</v>
      </c>
      <c r="R17" s="83">
        <f aca="true" t="shared" si="8" ref="R17:R22">O17*42.139/3600</f>
        <v>0.0653072197265625</v>
      </c>
      <c r="S17" s="84" t="s">
        <v>223</v>
      </c>
      <c r="T17" s="84" t="s">
        <v>211</v>
      </c>
      <c r="U17" s="131" t="s">
        <v>74</v>
      </c>
      <c r="V17" s="78" t="s">
        <v>107</v>
      </c>
    </row>
    <row r="18" spans="1:22" ht="25.5">
      <c r="A18" s="77" t="s">
        <v>108</v>
      </c>
      <c r="B18" s="78"/>
      <c r="C18" s="79" t="s">
        <v>282</v>
      </c>
      <c r="D18" s="119">
        <v>36586</v>
      </c>
      <c r="E18" s="120" t="s">
        <v>109</v>
      </c>
      <c r="F18" s="80">
        <v>0.25</v>
      </c>
      <c r="G18" s="80">
        <v>0.008333333333333333</v>
      </c>
      <c r="H18" s="80">
        <f t="shared" si="5"/>
        <v>0.25833333333333336</v>
      </c>
      <c r="I18" s="81" t="s">
        <v>397</v>
      </c>
      <c r="J18" s="81">
        <v>8</v>
      </c>
      <c r="K18" s="265">
        <v>9</v>
      </c>
      <c r="L18" s="78">
        <v>27</v>
      </c>
      <c r="M18" s="78">
        <v>4</v>
      </c>
      <c r="N18" s="78">
        <v>2.5</v>
      </c>
      <c r="O18" s="82">
        <f>K18*1625088/N18/(1024*1024)</f>
        <v>5.579296875</v>
      </c>
      <c r="P18" s="83">
        <f t="shared" si="6"/>
        <v>0.195755830078125</v>
      </c>
      <c r="Q18" s="83">
        <f t="shared" si="7"/>
        <v>0.0976376953125</v>
      </c>
      <c r="R18" s="83">
        <f t="shared" si="8"/>
        <v>0.0653072197265625</v>
      </c>
      <c r="S18" s="84" t="s">
        <v>223</v>
      </c>
      <c r="T18" s="84" t="s">
        <v>211</v>
      </c>
      <c r="U18" s="131" t="s">
        <v>74</v>
      </c>
      <c r="V18" s="78" t="s">
        <v>107</v>
      </c>
    </row>
    <row r="19" spans="1:22" ht="25.5">
      <c r="A19" s="77" t="s">
        <v>110</v>
      </c>
      <c r="B19" s="78"/>
      <c r="C19" s="79" t="s">
        <v>282</v>
      </c>
      <c r="D19" s="119">
        <v>36586</v>
      </c>
      <c r="E19" s="120" t="s">
        <v>109</v>
      </c>
      <c r="F19" s="80">
        <v>0.4375</v>
      </c>
      <c r="G19" s="80">
        <v>0.006944444444444444</v>
      </c>
      <c r="H19" s="80">
        <f t="shared" si="5"/>
        <v>0.4444444444444444</v>
      </c>
      <c r="I19" s="78"/>
      <c r="J19" s="81">
        <v>12</v>
      </c>
      <c r="K19" s="265">
        <v>4</v>
      </c>
      <c r="L19" s="78">
        <v>29</v>
      </c>
      <c r="M19" s="78">
        <v>0</v>
      </c>
      <c r="N19" s="78">
        <v>2.5</v>
      </c>
      <c r="O19" s="82">
        <f>K19*1625088/N19/(1024*1024)</f>
        <v>2.4796875</v>
      </c>
      <c r="P19" s="83">
        <f t="shared" si="6"/>
        <v>0.08700259114583332</v>
      </c>
      <c r="Q19" s="83">
        <f t="shared" si="7"/>
        <v>0.04339453124999999</v>
      </c>
      <c r="R19" s="83">
        <f t="shared" si="8"/>
        <v>0.02902543098958333</v>
      </c>
      <c r="S19" s="84" t="s">
        <v>223</v>
      </c>
      <c r="T19" s="84" t="s">
        <v>37</v>
      </c>
      <c r="U19" s="79" t="s">
        <v>305</v>
      </c>
      <c r="V19" s="78" t="s">
        <v>107</v>
      </c>
    </row>
    <row r="20" spans="1:22" ht="25.5">
      <c r="A20" s="79" t="s">
        <v>111</v>
      </c>
      <c r="B20" s="78"/>
      <c r="C20" s="79" t="s">
        <v>282</v>
      </c>
      <c r="D20" s="138">
        <v>36586</v>
      </c>
      <c r="E20" s="84" t="s">
        <v>109</v>
      </c>
      <c r="F20" s="139">
        <v>0.4791666666666667</v>
      </c>
      <c r="G20" s="80">
        <v>0.020833333333333332</v>
      </c>
      <c r="H20" s="80">
        <f t="shared" si="5"/>
        <v>0.5</v>
      </c>
      <c r="I20" s="78"/>
      <c r="J20" s="78">
        <v>8</v>
      </c>
      <c r="K20" s="265">
        <v>16</v>
      </c>
      <c r="L20" s="78">
        <v>18</v>
      </c>
      <c r="M20" s="78">
        <v>4</v>
      </c>
      <c r="N20" s="78">
        <v>2.5</v>
      </c>
      <c r="O20" s="82">
        <f>K20*1625088/N20/(1024*1024)</f>
        <v>9.91875</v>
      </c>
      <c r="P20" s="83">
        <f t="shared" si="6"/>
        <v>0.3480103645833333</v>
      </c>
      <c r="Q20" s="83">
        <f t="shared" si="7"/>
        <v>0.17357812499999997</v>
      </c>
      <c r="R20" s="83">
        <f t="shared" si="8"/>
        <v>0.11610172395833332</v>
      </c>
      <c r="S20" s="84" t="s">
        <v>223</v>
      </c>
      <c r="T20" s="84" t="s">
        <v>211</v>
      </c>
      <c r="U20" s="79" t="s">
        <v>112</v>
      </c>
      <c r="V20" s="78" t="s">
        <v>107</v>
      </c>
    </row>
    <row r="21" spans="1:22" ht="25.5">
      <c r="A21" s="77" t="s">
        <v>117</v>
      </c>
      <c r="B21" s="78"/>
      <c r="C21" s="79" t="s">
        <v>282</v>
      </c>
      <c r="D21" s="119">
        <v>36586</v>
      </c>
      <c r="E21" s="120" t="s">
        <v>109</v>
      </c>
      <c r="F21" s="80">
        <v>0.5104166666666666</v>
      </c>
      <c r="G21" s="80">
        <v>0.011805555555555555</v>
      </c>
      <c r="H21" s="80">
        <f t="shared" si="5"/>
        <v>0.5222222222222221</v>
      </c>
      <c r="I21" s="81" t="s">
        <v>397</v>
      </c>
      <c r="J21" s="81">
        <v>8</v>
      </c>
      <c r="K21" s="265">
        <v>9</v>
      </c>
      <c r="L21" s="78">
        <v>27</v>
      </c>
      <c r="M21" s="78">
        <v>4</v>
      </c>
      <c r="N21" s="78">
        <v>2.5</v>
      </c>
      <c r="O21" s="82">
        <f>K21*1625088/N21/(1024*1024)</f>
        <v>5.579296875</v>
      </c>
      <c r="P21" s="83">
        <f t="shared" si="6"/>
        <v>0.195755830078125</v>
      </c>
      <c r="Q21" s="83">
        <f t="shared" si="7"/>
        <v>0.0976376953125</v>
      </c>
      <c r="R21" s="83">
        <f t="shared" si="8"/>
        <v>0.0653072197265625</v>
      </c>
      <c r="S21" s="84" t="s">
        <v>223</v>
      </c>
      <c r="T21" s="84" t="s">
        <v>211</v>
      </c>
      <c r="U21" s="131" t="s">
        <v>74</v>
      </c>
      <c r="V21" s="78" t="s">
        <v>107</v>
      </c>
    </row>
    <row r="22" spans="1:22" ht="25.5">
      <c r="A22" s="77" t="s">
        <v>118</v>
      </c>
      <c r="B22" s="78"/>
      <c r="C22" s="79" t="s">
        <v>282</v>
      </c>
      <c r="D22" s="119">
        <v>36586</v>
      </c>
      <c r="E22" s="120" t="s">
        <v>109</v>
      </c>
      <c r="F22" s="80">
        <v>0.7326388888888888</v>
      </c>
      <c r="G22" s="80">
        <v>0.011805555555555555</v>
      </c>
      <c r="H22" s="80">
        <f t="shared" si="5"/>
        <v>0.7444444444444444</v>
      </c>
      <c r="I22" s="81" t="s">
        <v>287</v>
      </c>
      <c r="J22" s="81">
        <v>8</v>
      </c>
      <c r="K22" s="265">
        <v>9</v>
      </c>
      <c r="L22" s="78">
        <v>27</v>
      </c>
      <c r="M22" s="78">
        <v>4</v>
      </c>
      <c r="N22" s="78">
        <v>2.5</v>
      </c>
      <c r="O22" s="82">
        <f>2*K22*1625088/N22/(1024*1024)</f>
        <v>11.15859375</v>
      </c>
      <c r="P22" s="83">
        <f t="shared" si="6"/>
        <v>0.39151166015625</v>
      </c>
      <c r="Q22" s="83">
        <f t="shared" si="7"/>
        <v>0.195275390625</v>
      </c>
      <c r="R22" s="83">
        <f t="shared" si="8"/>
        <v>0.130614439453125</v>
      </c>
      <c r="S22" s="84" t="s">
        <v>223</v>
      </c>
      <c r="T22" s="84" t="s">
        <v>211</v>
      </c>
      <c r="U22" s="131" t="s">
        <v>74</v>
      </c>
      <c r="V22" s="78" t="s">
        <v>107</v>
      </c>
    </row>
    <row r="23" spans="1:22" ht="12.75">
      <c r="A23" s="110" t="s">
        <v>119</v>
      </c>
      <c r="B23" s="111">
        <v>45</v>
      </c>
      <c r="C23" s="112"/>
      <c r="D23" s="113">
        <v>36586</v>
      </c>
      <c r="E23" s="114" t="s">
        <v>109</v>
      </c>
      <c r="F23" s="115">
        <v>0.75</v>
      </c>
      <c r="G23" s="115">
        <v>0.2152777777777778</v>
      </c>
      <c r="H23" s="116">
        <f t="shared" si="5"/>
        <v>0.9652777777777778</v>
      </c>
      <c r="I23" s="112"/>
      <c r="J23" s="112"/>
      <c r="K23" s="268"/>
      <c r="L23" s="112"/>
      <c r="M23" s="112"/>
      <c r="N23" s="112"/>
      <c r="O23" s="117">
        <f>SUM(O17:O22)</f>
        <v>40.294921875</v>
      </c>
      <c r="P23" s="117">
        <f>SUM(P17:P22)</f>
        <v>1.4137921061197916</v>
      </c>
      <c r="Q23" s="117">
        <f>SUM(Q17:Q22)</f>
        <v>0.7051611328124999</v>
      </c>
      <c r="R23" s="117">
        <f>SUM(R17:R22)</f>
        <v>0.47166325358072914</v>
      </c>
      <c r="S23" s="114"/>
      <c r="T23" s="114"/>
      <c r="U23" s="118"/>
      <c r="V23" s="118"/>
    </row>
    <row r="24" spans="1:22" ht="25.5">
      <c r="A24" s="77" t="s">
        <v>390</v>
      </c>
      <c r="B24" s="78"/>
      <c r="C24" s="79" t="s">
        <v>282</v>
      </c>
      <c r="D24" s="119">
        <v>36586</v>
      </c>
      <c r="E24" s="120" t="s">
        <v>109</v>
      </c>
      <c r="F24" s="80">
        <v>0.96875</v>
      </c>
      <c r="G24" s="80">
        <v>0.014583333333333332</v>
      </c>
      <c r="H24" s="80">
        <f t="shared" si="5"/>
        <v>0.9833333333333333</v>
      </c>
      <c r="I24" s="81" t="s">
        <v>397</v>
      </c>
      <c r="J24" s="81">
        <v>8</v>
      </c>
      <c r="K24" s="265">
        <v>12</v>
      </c>
      <c r="L24" s="78">
        <v>27</v>
      </c>
      <c r="M24" s="78">
        <v>4</v>
      </c>
      <c r="N24" s="78">
        <v>2.5</v>
      </c>
      <c r="O24" s="82">
        <f>K24*1625088/N24/(1024*1024)</f>
        <v>7.4390625</v>
      </c>
      <c r="P24" s="83">
        <f aca="true" t="shared" si="9" ref="P24:P29">O24*126.31/3600</f>
        <v>0.26100777343750003</v>
      </c>
      <c r="Q24" s="83">
        <f aca="true" t="shared" si="10" ref="Q24:Q29">O24*63/3600</f>
        <v>0.13018359375000002</v>
      </c>
      <c r="R24" s="83">
        <f aca="true" t="shared" si="11" ref="R24:R29">O24*42.139/3600</f>
        <v>0.08707629296875001</v>
      </c>
      <c r="S24" s="84" t="s">
        <v>223</v>
      </c>
      <c r="T24" s="84" t="s">
        <v>211</v>
      </c>
      <c r="U24" s="131" t="s">
        <v>289</v>
      </c>
      <c r="V24" s="78" t="s">
        <v>107</v>
      </c>
    </row>
    <row r="25" spans="1:22" ht="38.25">
      <c r="A25" s="160" t="s">
        <v>290</v>
      </c>
      <c r="B25" s="161"/>
      <c r="C25" s="160" t="s">
        <v>291</v>
      </c>
      <c r="D25" s="162">
        <v>36587</v>
      </c>
      <c r="E25" s="163" t="s">
        <v>292</v>
      </c>
      <c r="F25" s="164">
        <v>0.16666666666666666</v>
      </c>
      <c r="G25" s="164">
        <v>0.2569444444444445</v>
      </c>
      <c r="H25" s="165">
        <f t="shared" si="5"/>
        <v>0.42361111111111116</v>
      </c>
      <c r="I25" s="161"/>
      <c r="J25" s="161">
        <v>8</v>
      </c>
      <c r="K25" s="269">
        <v>243</v>
      </c>
      <c r="L25" s="161">
        <v>1</v>
      </c>
      <c r="M25" s="161">
        <v>4</v>
      </c>
      <c r="N25" s="161">
        <v>2.6</v>
      </c>
      <c r="O25" s="166">
        <f>K25*1625088/N25/(1024*1024)</f>
        <v>144.84713040865384</v>
      </c>
      <c r="P25" s="167">
        <f t="shared" si="9"/>
        <v>5.08212251164363</v>
      </c>
      <c r="Q25" s="167">
        <f t="shared" si="10"/>
        <v>2.5348247821514422</v>
      </c>
      <c r="R25" s="167">
        <f t="shared" si="11"/>
        <v>1.6954758967472958</v>
      </c>
      <c r="S25" s="163" t="s">
        <v>223</v>
      </c>
      <c r="T25" s="163" t="s">
        <v>211</v>
      </c>
      <c r="U25" s="160" t="s">
        <v>293</v>
      </c>
      <c r="V25" s="161" t="s">
        <v>107</v>
      </c>
    </row>
    <row r="26" spans="1:22" ht="25.5">
      <c r="A26" s="77" t="s">
        <v>294</v>
      </c>
      <c r="B26" s="78"/>
      <c r="C26" s="79" t="s">
        <v>282</v>
      </c>
      <c r="D26" s="119">
        <v>36587</v>
      </c>
      <c r="E26" s="120" t="s">
        <v>292</v>
      </c>
      <c r="F26" s="80">
        <v>0.4444444444444444</v>
      </c>
      <c r="G26" s="80">
        <v>0.014583333333333332</v>
      </c>
      <c r="H26" s="80">
        <f t="shared" si="5"/>
        <v>0.45902777777777776</v>
      </c>
      <c r="I26" s="81" t="s">
        <v>287</v>
      </c>
      <c r="J26" s="81">
        <v>8</v>
      </c>
      <c r="K26" s="265">
        <v>12</v>
      </c>
      <c r="L26" s="78">
        <v>27</v>
      </c>
      <c r="M26" s="78">
        <v>4</v>
      </c>
      <c r="N26" s="78">
        <v>2.5</v>
      </c>
      <c r="O26" s="82">
        <f>2*K26*1625088/N26/(1024*1024)</f>
        <v>14.878125</v>
      </c>
      <c r="P26" s="83">
        <f t="shared" si="9"/>
        <v>0.5220155468750001</v>
      </c>
      <c r="Q26" s="83">
        <f t="shared" si="10"/>
        <v>0.26036718750000004</v>
      </c>
      <c r="R26" s="83">
        <f t="shared" si="11"/>
        <v>0.17415258593750002</v>
      </c>
      <c r="S26" s="84" t="s">
        <v>223</v>
      </c>
      <c r="T26" s="84" t="s">
        <v>211</v>
      </c>
      <c r="U26" s="131" t="s">
        <v>289</v>
      </c>
      <c r="V26" s="78" t="s">
        <v>107</v>
      </c>
    </row>
    <row r="27" spans="1:22" ht="25.5">
      <c r="A27" s="79" t="s">
        <v>295</v>
      </c>
      <c r="B27" s="78"/>
      <c r="C27" s="79" t="s">
        <v>282</v>
      </c>
      <c r="D27" s="138">
        <v>36587</v>
      </c>
      <c r="E27" s="84" t="s">
        <v>292</v>
      </c>
      <c r="F27" s="139">
        <v>0.4791666666666667</v>
      </c>
      <c r="G27" s="80">
        <v>0.020833333333333332</v>
      </c>
      <c r="H27" s="80">
        <f t="shared" si="5"/>
        <v>0.5</v>
      </c>
      <c r="I27" s="78"/>
      <c r="J27" s="78">
        <v>8</v>
      </c>
      <c r="K27" s="265">
        <v>16</v>
      </c>
      <c r="L27" s="78">
        <v>18</v>
      </c>
      <c r="M27" s="78">
        <v>4</v>
      </c>
      <c r="N27" s="78">
        <v>2.5</v>
      </c>
      <c r="O27" s="82">
        <f>K27*1625088/N27/(1024*1024)</f>
        <v>9.91875</v>
      </c>
      <c r="P27" s="83">
        <f t="shared" si="9"/>
        <v>0.3480103645833333</v>
      </c>
      <c r="Q27" s="83">
        <f t="shared" si="10"/>
        <v>0.17357812499999997</v>
      </c>
      <c r="R27" s="83">
        <f t="shared" si="11"/>
        <v>0.11610172395833332</v>
      </c>
      <c r="S27" s="84" t="s">
        <v>223</v>
      </c>
      <c r="T27" s="84" t="s">
        <v>211</v>
      </c>
      <c r="U27" s="79" t="s">
        <v>296</v>
      </c>
      <c r="V27" s="78" t="s">
        <v>107</v>
      </c>
    </row>
    <row r="28" spans="1:22" ht="25.5">
      <c r="A28" s="77" t="s">
        <v>297</v>
      </c>
      <c r="B28" s="78"/>
      <c r="C28" s="79" t="s">
        <v>282</v>
      </c>
      <c r="D28" s="119">
        <v>36587</v>
      </c>
      <c r="E28" s="120" t="s">
        <v>292</v>
      </c>
      <c r="F28" s="80">
        <v>0.5208333333333334</v>
      </c>
      <c r="G28" s="80">
        <v>0.006944444444444444</v>
      </c>
      <c r="H28" s="80">
        <f t="shared" si="5"/>
        <v>0.5277777777777778</v>
      </c>
      <c r="I28" s="78"/>
      <c r="J28" s="81">
        <v>12</v>
      </c>
      <c r="K28" s="265">
        <v>4</v>
      </c>
      <c r="L28" s="78">
        <v>29</v>
      </c>
      <c r="M28" s="78">
        <v>0</v>
      </c>
      <c r="N28" s="78">
        <v>2.5</v>
      </c>
      <c r="O28" s="82">
        <f>K28*1625088/N28/(1024*1024)</f>
        <v>2.4796875</v>
      </c>
      <c r="P28" s="83">
        <f t="shared" si="9"/>
        <v>0.08700259114583332</v>
      </c>
      <c r="Q28" s="83">
        <f t="shared" si="10"/>
        <v>0.04339453124999999</v>
      </c>
      <c r="R28" s="83">
        <f t="shared" si="11"/>
        <v>0.02902543098958333</v>
      </c>
      <c r="S28" s="84" t="s">
        <v>223</v>
      </c>
      <c r="T28" s="84" t="s">
        <v>37</v>
      </c>
      <c r="U28" s="79" t="s">
        <v>305</v>
      </c>
      <c r="V28" s="78" t="s">
        <v>107</v>
      </c>
    </row>
    <row r="29" spans="1:22" ht="25.5">
      <c r="A29" s="77" t="s">
        <v>298</v>
      </c>
      <c r="B29" s="78"/>
      <c r="C29" s="79" t="s">
        <v>282</v>
      </c>
      <c r="D29" s="119">
        <v>36587</v>
      </c>
      <c r="E29" s="120" t="s">
        <v>292</v>
      </c>
      <c r="F29" s="80">
        <v>0.6145833333333334</v>
      </c>
      <c r="G29" s="80">
        <v>0.014583333333333332</v>
      </c>
      <c r="H29" s="80">
        <f t="shared" si="5"/>
        <v>0.6291666666666667</v>
      </c>
      <c r="I29" s="81" t="s">
        <v>287</v>
      </c>
      <c r="J29" s="81">
        <v>8</v>
      </c>
      <c r="K29" s="265">
        <v>12</v>
      </c>
      <c r="L29" s="78">
        <v>27</v>
      </c>
      <c r="M29" s="78">
        <v>4</v>
      </c>
      <c r="N29" s="78">
        <v>2.5</v>
      </c>
      <c r="O29" s="82">
        <f>2*K29*1625088/N29/(1024*1024)</f>
        <v>14.878125</v>
      </c>
      <c r="P29" s="83">
        <f t="shared" si="9"/>
        <v>0.5220155468750001</v>
      </c>
      <c r="Q29" s="83">
        <f t="shared" si="10"/>
        <v>0.26036718750000004</v>
      </c>
      <c r="R29" s="83">
        <f t="shared" si="11"/>
        <v>0.17415258593750002</v>
      </c>
      <c r="S29" s="84" t="s">
        <v>223</v>
      </c>
      <c r="T29" s="84" t="s">
        <v>211</v>
      </c>
      <c r="U29" s="131" t="s">
        <v>289</v>
      </c>
      <c r="V29" s="78" t="s">
        <v>107</v>
      </c>
    </row>
    <row r="30" spans="1:22" ht="12.75">
      <c r="A30" s="140" t="s">
        <v>75</v>
      </c>
      <c r="B30" s="141">
        <v>43</v>
      </c>
      <c r="C30" s="142"/>
      <c r="D30" s="143">
        <v>36587</v>
      </c>
      <c r="E30" s="144" t="s">
        <v>292</v>
      </c>
      <c r="F30" s="145">
        <v>0.6284722222222222</v>
      </c>
      <c r="G30" s="145">
        <v>0.2152777777777778</v>
      </c>
      <c r="H30" s="146">
        <f t="shared" si="5"/>
        <v>0.84375</v>
      </c>
      <c r="I30" s="142"/>
      <c r="J30" s="142"/>
      <c r="K30" s="266"/>
      <c r="L30" s="142"/>
      <c r="M30" s="142"/>
      <c r="N30" s="142"/>
      <c r="O30" s="147">
        <f>SUM(O24:O29)</f>
        <v>194.44088040865387</v>
      </c>
      <c r="P30" s="147">
        <f>SUM(P24:P29)</f>
        <v>6.822174334560297</v>
      </c>
      <c r="Q30" s="147">
        <f>SUM(Q24:Q29)</f>
        <v>3.4027154071514425</v>
      </c>
      <c r="R30" s="147">
        <f>SUM(R24:R29)</f>
        <v>2.275984516538963</v>
      </c>
      <c r="S30" s="144"/>
      <c r="T30" s="144"/>
      <c r="U30" s="148"/>
      <c r="V30" s="148"/>
    </row>
    <row r="31" spans="1:22" ht="25.5">
      <c r="A31" s="77" t="s">
        <v>299</v>
      </c>
      <c r="B31" s="78"/>
      <c r="C31" s="79" t="s">
        <v>282</v>
      </c>
      <c r="D31" s="119">
        <v>36587</v>
      </c>
      <c r="E31" s="120" t="s">
        <v>292</v>
      </c>
      <c r="F31" s="80">
        <v>0.8472222222222222</v>
      </c>
      <c r="G31" s="80">
        <v>0.014583333333333332</v>
      </c>
      <c r="H31" s="80">
        <f t="shared" si="5"/>
        <v>0.8618055555555555</v>
      </c>
      <c r="I31" s="81" t="s">
        <v>397</v>
      </c>
      <c r="J31" s="81">
        <v>8</v>
      </c>
      <c r="K31" s="265">
        <v>12</v>
      </c>
      <c r="L31" s="78">
        <v>27</v>
      </c>
      <c r="M31" s="78">
        <v>4</v>
      </c>
      <c r="N31" s="78">
        <v>2.5</v>
      </c>
      <c r="O31" s="82">
        <f>K31*1625088/N31/(1024*1024)</f>
        <v>7.4390625</v>
      </c>
      <c r="P31" s="83">
        <f aca="true" t="shared" si="12" ref="P31:P37">O31*126.31/3600</f>
        <v>0.26100777343750003</v>
      </c>
      <c r="Q31" s="83">
        <f aca="true" t="shared" si="13" ref="Q31:Q37">O31*63/3600</f>
        <v>0.13018359375000002</v>
      </c>
      <c r="R31" s="83">
        <f aca="true" t="shared" si="14" ref="R31:R37">O31*42.139/3600</f>
        <v>0.08707629296875001</v>
      </c>
      <c r="S31" s="84" t="s">
        <v>223</v>
      </c>
      <c r="T31" s="84" t="s">
        <v>211</v>
      </c>
      <c r="U31" s="131" t="s">
        <v>289</v>
      </c>
      <c r="V31" s="78" t="s">
        <v>107</v>
      </c>
    </row>
    <row r="32" spans="1:22" ht="25.5">
      <c r="A32" s="77" t="s">
        <v>300</v>
      </c>
      <c r="B32" s="78"/>
      <c r="C32" s="79" t="s">
        <v>282</v>
      </c>
      <c r="D32" s="119">
        <v>36588</v>
      </c>
      <c r="E32" s="120" t="s">
        <v>301</v>
      </c>
      <c r="F32" s="80">
        <v>0.20833333333333334</v>
      </c>
      <c r="G32" s="80">
        <v>0.014583333333333332</v>
      </c>
      <c r="H32" s="80">
        <f t="shared" si="5"/>
        <v>0.22291666666666668</v>
      </c>
      <c r="I32" s="81" t="s">
        <v>397</v>
      </c>
      <c r="J32" s="81">
        <v>8</v>
      </c>
      <c r="K32" s="265">
        <v>12</v>
      </c>
      <c r="L32" s="78">
        <v>27</v>
      </c>
      <c r="M32" s="78">
        <v>4</v>
      </c>
      <c r="N32" s="78">
        <v>2.5</v>
      </c>
      <c r="O32" s="82">
        <f>K32*1625088/N32/(1024*1024)</f>
        <v>7.4390625</v>
      </c>
      <c r="P32" s="83">
        <f t="shared" si="12"/>
        <v>0.26100777343750003</v>
      </c>
      <c r="Q32" s="83">
        <f t="shared" si="13"/>
        <v>0.13018359375000002</v>
      </c>
      <c r="R32" s="83">
        <f t="shared" si="14"/>
        <v>0.08707629296875001</v>
      </c>
      <c r="S32" s="84" t="s">
        <v>223</v>
      </c>
      <c r="T32" s="84" t="s">
        <v>211</v>
      </c>
      <c r="U32" s="131" t="s">
        <v>289</v>
      </c>
      <c r="V32" s="78" t="s">
        <v>107</v>
      </c>
    </row>
    <row r="33" spans="1:22" ht="25.5">
      <c r="A33" s="79" t="s">
        <v>302</v>
      </c>
      <c r="B33" s="78"/>
      <c r="C33" s="79" t="s">
        <v>282</v>
      </c>
      <c r="D33" s="138">
        <v>36588</v>
      </c>
      <c r="E33" s="84" t="s">
        <v>301</v>
      </c>
      <c r="F33" s="139">
        <v>0.2916666666666667</v>
      </c>
      <c r="G33" s="80">
        <v>0.020833333333333332</v>
      </c>
      <c r="H33" s="80">
        <f t="shared" si="5"/>
        <v>0.3125</v>
      </c>
      <c r="I33" s="78"/>
      <c r="J33" s="78">
        <v>8</v>
      </c>
      <c r="K33" s="265">
        <v>16</v>
      </c>
      <c r="L33" s="78">
        <v>18</v>
      </c>
      <c r="M33" s="78">
        <v>4</v>
      </c>
      <c r="N33" s="78">
        <v>2.5</v>
      </c>
      <c r="O33" s="82">
        <f>K33*1625088/N33/(1024*1024)</f>
        <v>9.91875</v>
      </c>
      <c r="P33" s="83">
        <f>O33*126.31/3600</f>
        <v>0.3480103645833333</v>
      </c>
      <c r="Q33" s="83">
        <f>O33*63/3600</f>
        <v>0.17357812499999997</v>
      </c>
      <c r="R33" s="83">
        <f>O33*42.139/3600</f>
        <v>0.11610172395833332</v>
      </c>
      <c r="S33" s="84" t="s">
        <v>223</v>
      </c>
      <c r="T33" s="84" t="s">
        <v>211</v>
      </c>
      <c r="U33" s="79" t="s">
        <v>303</v>
      </c>
      <c r="V33" s="78" t="s">
        <v>107</v>
      </c>
    </row>
    <row r="34" spans="1:22" ht="25.5">
      <c r="A34" s="132" t="s">
        <v>304</v>
      </c>
      <c r="B34" s="133"/>
      <c r="C34" s="132" t="s">
        <v>282</v>
      </c>
      <c r="D34" s="134">
        <v>36588</v>
      </c>
      <c r="E34" s="135" t="s">
        <v>301</v>
      </c>
      <c r="F34" s="136">
        <v>0.2916666666666667</v>
      </c>
      <c r="G34" s="137">
        <v>0.020833333333333332</v>
      </c>
      <c r="H34" s="137">
        <f t="shared" si="5"/>
        <v>0.3125</v>
      </c>
      <c r="I34" s="133"/>
      <c r="J34" s="133"/>
      <c r="K34" s="264">
        <v>140</v>
      </c>
      <c r="L34" s="133">
        <v>8</v>
      </c>
      <c r="M34" s="133"/>
      <c r="N34" s="133"/>
      <c r="O34" s="107">
        <f>K34*2864/2.5/1000000</f>
        <v>0.160384</v>
      </c>
      <c r="P34" s="108">
        <f>O34*126.31/3600</f>
        <v>0.005627250844444445</v>
      </c>
      <c r="Q34" s="108">
        <f>O34*63/3600</f>
        <v>0.00280672</v>
      </c>
      <c r="R34" s="108">
        <f>O34*42.139/3600</f>
        <v>0.0018773392711111112</v>
      </c>
      <c r="S34" s="135" t="s">
        <v>223</v>
      </c>
      <c r="T34" s="135" t="s">
        <v>211</v>
      </c>
      <c r="U34" s="132" t="s">
        <v>42</v>
      </c>
      <c r="V34" s="133" t="s">
        <v>107</v>
      </c>
    </row>
    <row r="35" spans="1:22" ht="25.5">
      <c r="A35" s="77" t="s">
        <v>43</v>
      </c>
      <c r="B35" s="78"/>
      <c r="C35" s="79" t="s">
        <v>282</v>
      </c>
      <c r="D35" s="119">
        <v>36588</v>
      </c>
      <c r="E35" s="120" t="s">
        <v>301</v>
      </c>
      <c r="F35" s="80">
        <v>0.3333333333333333</v>
      </c>
      <c r="G35" s="80">
        <v>0.006944444444444444</v>
      </c>
      <c r="H35" s="80">
        <f t="shared" si="5"/>
        <v>0.34027777777777773</v>
      </c>
      <c r="I35" s="78"/>
      <c r="J35" s="81">
        <v>12</v>
      </c>
      <c r="K35" s="265">
        <v>4</v>
      </c>
      <c r="L35" s="78">
        <v>29</v>
      </c>
      <c r="M35" s="78">
        <v>0</v>
      </c>
      <c r="N35" s="78">
        <v>2.5</v>
      </c>
      <c r="O35" s="82">
        <f>K35*1625088/N35/(1024*1024)</f>
        <v>2.4796875</v>
      </c>
      <c r="P35" s="83">
        <f>O35*126.31/3600</f>
        <v>0.08700259114583332</v>
      </c>
      <c r="Q35" s="83">
        <f>O35*63/3600</f>
        <v>0.04339453124999999</v>
      </c>
      <c r="R35" s="83">
        <f>O35*42.139/3600</f>
        <v>0.02902543098958333</v>
      </c>
      <c r="S35" s="84" t="s">
        <v>223</v>
      </c>
      <c r="T35" s="84" t="s">
        <v>37</v>
      </c>
      <c r="U35" s="79" t="s">
        <v>305</v>
      </c>
      <c r="V35" s="78" t="s">
        <v>107</v>
      </c>
    </row>
    <row r="36" spans="1:22" ht="25.5">
      <c r="A36" s="77" t="s">
        <v>44</v>
      </c>
      <c r="B36" s="78"/>
      <c r="C36" s="79" t="s">
        <v>282</v>
      </c>
      <c r="D36" s="119">
        <v>36588</v>
      </c>
      <c r="E36" s="120" t="s">
        <v>301</v>
      </c>
      <c r="F36" s="80">
        <v>0.4166666666666667</v>
      </c>
      <c r="G36" s="80">
        <v>0.014583333333333332</v>
      </c>
      <c r="H36" s="80">
        <f t="shared" si="5"/>
        <v>0.43125</v>
      </c>
      <c r="I36" s="81" t="s">
        <v>397</v>
      </c>
      <c r="J36" s="81">
        <v>8</v>
      </c>
      <c r="K36" s="265">
        <v>12</v>
      </c>
      <c r="L36" s="78">
        <v>27</v>
      </c>
      <c r="M36" s="78">
        <v>4</v>
      </c>
      <c r="N36" s="78">
        <v>2.5</v>
      </c>
      <c r="O36" s="82">
        <f>K36*1625088/N36/(1024*1024)</f>
        <v>7.4390625</v>
      </c>
      <c r="P36" s="83">
        <f>O36*126.31/3600</f>
        <v>0.26100777343750003</v>
      </c>
      <c r="Q36" s="83">
        <f>O36*63/3600</f>
        <v>0.13018359375000002</v>
      </c>
      <c r="R36" s="83">
        <f>O36*42.139/3600</f>
        <v>0.08707629296875001</v>
      </c>
      <c r="S36" s="84" t="s">
        <v>223</v>
      </c>
      <c r="T36" s="84" t="s">
        <v>211</v>
      </c>
      <c r="U36" s="131" t="s">
        <v>289</v>
      </c>
      <c r="V36" s="78" t="s">
        <v>107</v>
      </c>
    </row>
    <row r="37" spans="1:22" ht="25.5">
      <c r="A37" s="77" t="s">
        <v>45</v>
      </c>
      <c r="B37" s="78"/>
      <c r="C37" s="79" t="s">
        <v>282</v>
      </c>
      <c r="D37" s="119">
        <v>36588</v>
      </c>
      <c r="E37" s="120" t="s">
        <v>301</v>
      </c>
      <c r="F37" s="80">
        <v>0.607638888888889</v>
      </c>
      <c r="G37" s="80">
        <v>0.014583333333333332</v>
      </c>
      <c r="H37" s="80">
        <f t="shared" si="5"/>
        <v>0.6222222222222222</v>
      </c>
      <c r="I37" s="81" t="s">
        <v>397</v>
      </c>
      <c r="J37" s="81">
        <v>8</v>
      </c>
      <c r="K37" s="265">
        <v>12</v>
      </c>
      <c r="L37" s="78">
        <v>27</v>
      </c>
      <c r="M37" s="78">
        <v>4</v>
      </c>
      <c r="N37" s="78">
        <v>2.5</v>
      </c>
      <c r="O37" s="82">
        <f>K37*1625088/N37/(1024*1024)</f>
        <v>7.4390625</v>
      </c>
      <c r="P37" s="83">
        <f t="shared" si="12"/>
        <v>0.26100777343750003</v>
      </c>
      <c r="Q37" s="83">
        <f t="shared" si="13"/>
        <v>0.13018359375000002</v>
      </c>
      <c r="R37" s="83">
        <f t="shared" si="14"/>
        <v>0.08707629296875001</v>
      </c>
      <c r="S37" s="84" t="s">
        <v>223</v>
      </c>
      <c r="T37" s="84" t="s">
        <v>211</v>
      </c>
      <c r="U37" s="131" t="s">
        <v>289</v>
      </c>
      <c r="V37" s="78" t="s">
        <v>107</v>
      </c>
    </row>
    <row r="38" spans="1:22" ht="12.75">
      <c r="A38" s="110" t="s">
        <v>119</v>
      </c>
      <c r="B38" s="111">
        <v>45</v>
      </c>
      <c r="C38" s="112"/>
      <c r="D38" s="113">
        <v>36588</v>
      </c>
      <c r="E38" s="114" t="s">
        <v>301</v>
      </c>
      <c r="F38" s="115">
        <v>0.625</v>
      </c>
      <c r="G38" s="115">
        <v>0.15625</v>
      </c>
      <c r="H38" s="116">
        <f>SUM(F38:G38)</f>
        <v>0.78125</v>
      </c>
      <c r="I38" s="112"/>
      <c r="J38" s="112"/>
      <c r="K38" s="268"/>
      <c r="L38" s="112"/>
      <c r="M38" s="112"/>
      <c r="N38" s="112"/>
      <c r="O38" s="117">
        <f>SUM(O31:O37)</f>
        <v>42.3150715</v>
      </c>
      <c r="P38" s="117">
        <f>SUM(P31:P37)</f>
        <v>1.4846713003236112</v>
      </c>
      <c r="Q38" s="117">
        <f>SUM(Q31:Q37)</f>
        <v>0.74051375125</v>
      </c>
      <c r="R38" s="117">
        <f>SUM(R31:R37)</f>
        <v>0.4953096660940278</v>
      </c>
      <c r="S38" s="114"/>
      <c r="T38" s="114"/>
      <c r="U38" s="118"/>
      <c r="V38" s="118"/>
    </row>
    <row r="39" spans="1:22" ht="12.75">
      <c r="A39" s="194" t="s">
        <v>230</v>
      </c>
      <c r="B39" s="169"/>
      <c r="C39" s="168"/>
      <c r="D39" s="170">
        <v>36588</v>
      </c>
      <c r="E39" s="171" t="s">
        <v>301</v>
      </c>
      <c r="F39" s="172">
        <v>0.75</v>
      </c>
      <c r="G39" s="173"/>
      <c r="H39" s="174"/>
      <c r="I39" s="173"/>
      <c r="J39" s="173"/>
      <c r="K39" s="270"/>
      <c r="L39" s="173"/>
      <c r="M39" s="173"/>
      <c r="N39" s="173"/>
      <c r="O39" s="175"/>
      <c r="P39" s="176"/>
      <c r="Q39" s="176"/>
      <c r="R39" s="176"/>
      <c r="S39" s="171"/>
      <c r="T39" s="171"/>
      <c r="U39" s="168"/>
      <c r="V39" s="168"/>
    </row>
    <row r="40" spans="1:22" ht="25.5">
      <c r="A40" s="77" t="s">
        <v>46</v>
      </c>
      <c r="B40" s="78"/>
      <c r="C40" s="79" t="s">
        <v>282</v>
      </c>
      <c r="D40" s="119">
        <v>36588</v>
      </c>
      <c r="E40" s="120" t="s">
        <v>301</v>
      </c>
      <c r="F40" s="80">
        <v>0.7916666666666666</v>
      </c>
      <c r="G40" s="80">
        <v>0.014583333333333332</v>
      </c>
      <c r="H40" s="80">
        <f>SUM(F40:G40)</f>
        <v>0.8062499999999999</v>
      </c>
      <c r="I40" s="81" t="s">
        <v>287</v>
      </c>
      <c r="J40" s="81">
        <v>8</v>
      </c>
      <c r="K40" s="265">
        <v>12</v>
      </c>
      <c r="L40" s="78">
        <v>27</v>
      </c>
      <c r="M40" s="78">
        <v>4</v>
      </c>
      <c r="N40" s="78">
        <v>2.5</v>
      </c>
      <c r="O40" s="82">
        <f>2*K40*1625088/N40/(1024*1024)</f>
        <v>14.878125</v>
      </c>
      <c r="P40" s="83">
        <f>O40*126.31/3600</f>
        <v>0.5220155468750001</v>
      </c>
      <c r="Q40" s="83">
        <f>O40*63/3600</f>
        <v>0.26036718750000004</v>
      </c>
      <c r="R40" s="83">
        <f>O40*42.139/3600</f>
        <v>0.17415258593750002</v>
      </c>
      <c r="S40" s="84" t="s">
        <v>223</v>
      </c>
      <c r="T40" s="84" t="s">
        <v>211</v>
      </c>
      <c r="U40" s="131" t="s">
        <v>289</v>
      </c>
      <c r="V40" s="78" t="s">
        <v>107</v>
      </c>
    </row>
    <row r="41" spans="1:22" ht="12.75">
      <c r="A41" s="110" t="s">
        <v>119</v>
      </c>
      <c r="B41" s="111">
        <v>45</v>
      </c>
      <c r="C41" s="112"/>
      <c r="D41" s="113">
        <v>36588</v>
      </c>
      <c r="E41" s="114" t="s">
        <v>301</v>
      </c>
      <c r="F41" s="115">
        <v>0.8263888888888888</v>
      </c>
      <c r="G41" s="115">
        <v>0.09722222222222222</v>
      </c>
      <c r="H41" s="116">
        <f>SUM(F41:G41)</f>
        <v>0.923611111111111</v>
      </c>
      <c r="I41" s="112"/>
      <c r="J41" s="112"/>
      <c r="K41" s="268"/>
      <c r="L41" s="112"/>
      <c r="M41" s="112"/>
      <c r="N41" s="112"/>
      <c r="O41" s="117">
        <f>SUM(O34:O40)</f>
        <v>74.711393</v>
      </c>
      <c r="P41" s="117">
        <f>SUM(P34:P40)</f>
        <v>2.621332236063889</v>
      </c>
      <c r="Q41" s="117">
        <f>SUM(Q34:Q40)</f>
        <v>1.3074493775</v>
      </c>
      <c r="R41" s="117">
        <f>SUM(R34:R40)</f>
        <v>0.8745176082297224</v>
      </c>
      <c r="S41" s="114"/>
      <c r="T41" s="114"/>
      <c r="U41" s="118"/>
      <c r="V41" s="118"/>
    </row>
    <row r="42" spans="1:22" ht="25.5">
      <c r="A42" s="77" t="s">
        <v>204</v>
      </c>
      <c r="B42" s="78"/>
      <c r="C42" s="79" t="s">
        <v>282</v>
      </c>
      <c r="D42" s="119">
        <v>36588</v>
      </c>
      <c r="E42" s="120" t="s">
        <v>301</v>
      </c>
      <c r="F42" s="80">
        <v>0.9166666666666666</v>
      </c>
      <c r="G42" s="80">
        <v>0.014583333333333332</v>
      </c>
      <c r="H42" s="80">
        <f>SUM(F42:G42)</f>
        <v>0.9312499999999999</v>
      </c>
      <c r="I42" s="81" t="s">
        <v>287</v>
      </c>
      <c r="J42" s="81">
        <v>8</v>
      </c>
      <c r="K42" s="265">
        <v>12</v>
      </c>
      <c r="L42" s="78">
        <v>27</v>
      </c>
      <c r="M42" s="78">
        <v>4</v>
      </c>
      <c r="N42" s="78">
        <v>2.5</v>
      </c>
      <c r="O42" s="82">
        <f>2*K42*1625088/N42/(1024*1024)</f>
        <v>14.878125</v>
      </c>
      <c r="P42" s="83">
        <f>O42*126.31/3600</f>
        <v>0.5220155468750001</v>
      </c>
      <c r="Q42" s="83">
        <f>O42*63/3600</f>
        <v>0.26036718750000004</v>
      </c>
      <c r="R42" s="83">
        <f>O42*42.139/3600</f>
        <v>0.17415258593750002</v>
      </c>
      <c r="S42" s="84" t="s">
        <v>223</v>
      </c>
      <c r="T42" s="84" t="s">
        <v>211</v>
      </c>
      <c r="U42" s="131" t="s">
        <v>289</v>
      </c>
      <c r="V42" s="78" t="s">
        <v>107</v>
      </c>
    </row>
    <row r="43" spans="1:22" ht="12.75">
      <c r="A43" s="110" t="s">
        <v>119</v>
      </c>
      <c r="B43" s="111">
        <v>45</v>
      </c>
      <c r="C43" s="112"/>
      <c r="D43" s="113">
        <v>36588</v>
      </c>
      <c r="E43" s="114" t="s">
        <v>301</v>
      </c>
      <c r="F43" s="115">
        <v>0.9513888888888888</v>
      </c>
      <c r="G43" s="115">
        <v>0.22916666666666666</v>
      </c>
      <c r="H43" s="116">
        <f>SUM(F43:G43)</f>
        <v>1.1805555555555556</v>
      </c>
      <c r="I43" s="112"/>
      <c r="J43" s="112"/>
      <c r="K43" s="268"/>
      <c r="L43" s="112"/>
      <c r="M43" s="112"/>
      <c r="N43" s="112"/>
      <c r="O43" s="117">
        <f>SUM(O36:O42)</f>
        <v>161.6608395</v>
      </c>
      <c r="P43" s="117">
        <f>SUM(P36:P42)</f>
        <v>5.6720501770125</v>
      </c>
      <c r="Q43" s="117">
        <f>SUM(Q36:Q42)</f>
        <v>2.82906469125</v>
      </c>
      <c r="R43" s="117">
        <f>SUM(R36:R42)</f>
        <v>1.89228503213625</v>
      </c>
      <c r="S43" s="114"/>
      <c r="T43" s="114"/>
      <c r="U43" s="118"/>
      <c r="V43" s="118"/>
    </row>
    <row r="44" spans="1:22" ht="25.5">
      <c r="A44" s="77" t="s">
        <v>48</v>
      </c>
      <c r="B44" s="78"/>
      <c r="C44" s="79" t="s">
        <v>282</v>
      </c>
      <c r="D44" s="119">
        <v>36589</v>
      </c>
      <c r="E44" s="120" t="s">
        <v>47</v>
      </c>
      <c r="F44" s="80">
        <v>0.17361111111111113</v>
      </c>
      <c r="G44" s="80">
        <v>0.014583333333333332</v>
      </c>
      <c r="H44" s="80">
        <f t="shared" si="5"/>
        <v>0.18819444444444447</v>
      </c>
      <c r="I44" s="81" t="s">
        <v>397</v>
      </c>
      <c r="J44" s="81">
        <v>8</v>
      </c>
      <c r="K44" s="265">
        <v>12</v>
      </c>
      <c r="L44" s="78">
        <v>27</v>
      </c>
      <c r="M44" s="78">
        <v>4</v>
      </c>
      <c r="N44" s="78">
        <v>2.5</v>
      </c>
      <c r="O44" s="82">
        <f>K44*1625088/N44/(1024*1024)</f>
        <v>7.4390625</v>
      </c>
      <c r="P44" s="83">
        <f>O44*126.31/3600</f>
        <v>0.26100777343750003</v>
      </c>
      <c r="Q44" s="83">
        <f>O44*63/3600</f>
        <v>0.13018359375000002</v>
      </c>
      <c r="R44" s="83">
        <f>O44*42.139/3600</f>
        <v>0.08707629296875001</v>
      </c>
      <c r="S44" s="84" t="s">
        <v>223</v>
      </c>
      <c r="T44" s="84" t="s">
        <v>211</v>
      </c>
      <c r="U44" s="131" t="s">
        <v>289</v>
      </c>
      <c r="V44" s="78" t="s">
        <v>107</v>
      </c>
    </row>
    <row r="45" spans="1:22" ht="25.5">
      <c r="A45" s="77" t="s">
        <v>49</v>
      </c>
      <c r="B45" s="78"/>
      <c r="C45" s="79" t="s">
        <v>282</v>
      </c>
      <c r="D45" s="119">
        <v>36589</v>
      </c>
      <c r="E45" s="120" t="s">
        <v>47</v>
      </c>
      <c r="F45" s="80">
        <v>0.611111111111111</v>
      </c>
      <c r="G45" s="80">
        <v>0.014583333333333332</v>
      </c>
      <c r="H45" s="80">
        <f aca="true" t="shared" si="15" ref="H45:H63">SUM(F45:G45)</f>
        <v>0.6256944444444443</v>
      </c>
      <c r="I45" s="81" t="s">
        <v>397</v>
      </c>
      <c r="J45" s="81">
        <v>8</v>
      </c>
      <c r="K45" s="265">
        <v>12</v>
      </c>
      <c r="L45" s="78">
        <v>27</v>
      </c>
      <c r="M45" s="78">
        <v>4</v>
      </c>
      <c r="N45" s="78">
        <v>2.5</v>
      </c>
      <c r="O45" s="82">
        <f>K45*1625088/N45/(1024*1024)</f>
        <v>7.4390625</v>
      </c>
      <c r="P45" s="83">
        <f>O45*126.31/3600</f>
        <v>0.26100777343750003</v>
      </c>
      <c r="Q45" s="83">
        <f>O45*63/3600</f>
        <v>0.13018359375000002</v>
      </c>
      <c r="R45" s="83">
        <f>O45*42.139/3600</f>
        <v>0.08707629296875001</v>
      </c>
      <c r="S45" s="84" t="s">
        <v>223</v>
      </c>
      <c r="T45" s="84" t="s">
        <v>211</v>
      </c>
      <c r="U45" s="131" t="s">
        <v>289</v>
      </c>
      <c r="V45" s="78" t="s">
        <v>107</v>
      </c>
    </row>
    <row r="46" spans="1:22" ht="12.75">
      <c r="A46" s="140" t="s">
        <v>75</v>
      </c>
      <c r="B46" s="141">
        <v>43</v>
      </c>
      <c r="C46" s="142"/>
      <c r="D46" s="143">
        <v>36589</v>
      </c>
      <c r="E46" s="144" t="s">
        <v>47</v>
      </c>
      <c r="F46" s="145">
        <v>0.6284722222222222</v>
      </c>
      <c r="G46" s="145">
        <v>0.23958333333333334</v>
      </c>
      <c r="H46" s="146">
        <f t="shared" si="15"/>
        <v>0.8680555555555556</v>
      </c>
      <c r="I46" s="142"/>
      <c r="J46" s="142"/>
      <c r="K46" s="266"/>
      <c r="L46" s="142"/>
      <c r="M46" s="142"/>
      <c r="N46" s="142"/>
      <c r="O46" s="147">
        <f>SUM(O40:O45)</f>
        <v>281.0066075</v>
      </c>
      <c r="P46" s="147">
        <f>SUM(P40:P45)</f>
        <v>9.85942905370139</v>
      </c>
      <c r="Q46" s="147">
        <f>SUM(Q40:Q45)</f>
        <v>4.91761563125</v>
      </c>
      <c r="R46" s="147">
        <f>SUM(R40:R45)</f>
        <v>3.289260398178472</v>
      </c>
      <c r="S46" s="144"/>
      <c r="T46" s="144"/>
      <c r="U46" s="148"/>
      <c r="V46" s="148"/>
    </row>
    <row r="47" spans="1:22" ht="25.5">
      <c r="A47" s="77" t="s">
        <v>50</v>
      </c>
      <c r="B47" s="78"/>
      <c r="C47" s="79" t="s">
        <v>282</v>
      </c>
      <c r="D47" s="119">
        <v>36589</v>
      </c>
      <c r="E47" s="120" t="s">
        <v>47</v>
      </c>
      <c r="F47" s="80">
        <v>0.8784722222222222</v>
      </c>
      <c r="G47" s="80">
        <v>0.014583333333333332</v>
      </c>
      <c r="H47" s="80">
        <f t="shared" si="15"/>
        <v>0.8930555555555555</v>
      </c>
      <c r="I47" s="81" t="s">
        <v>397</v>
      </c>
      <c r="J47" s="81">
        <v>8</v>
      </c>
      <c r="K47" s="265">
        <v>12</v>
      </c>
      <c r="L47" s="78">
        <v>27</v>
      </c>
      <c r="M47" s="78">
        <v>4</v>
      </c>
      <c r="N47" s="78">
        <v>2.5</v>
      </c>
      <c r="O47" s="82">
        <f>K47*1625088/N47/(1024*1024)</f>
        <v>7.4390625</v>
      </c>
      <c r="P47" s="83">
        <f aca="true" t="shared" si="16" ref="P47:P53">O47*126.31/3600</f>
        <v>0.26100777343750003</v>
      </c>
      <c r="Q47" s="83">
        <f aca="true" t="shared" si="17" ref="Q47:Q53">O47*63/3600</f>
        <v>0.13018359375000002</v>
      </c>
      <c r="R47" s="83">
        <f aca="true" t="shared" si="18" ref="R47:R53">O47*42.139/3600</f>
        <v>0.08707629296875001</v>
      </c>
      <c r="S47" s="84" t="s">
        <v>223</v>
      </c>
      <c r="T47" s="84" t="s">
        <v>211</v>
      </c>
      <c r="U47" s="131" t="s">
        <v>289</v>
      </c>
      <c r="V47" s="78" t="s">
        <v>107</v>
      </c>
    </row>
    <row r="48" spans="1:22" ht="25.5">
      <c r="A48" s="77" t="s">
        <v>51</v>
      </c>
      <c r="B48" s="78"/>
      <c r="C48" s="79" t="s">
        <v>282</v>
      </c>
      <c r="D48" s="119">
        <v>36590</v>
      </c>
      <c r="E48" s="120" t="s">
        <v>52</v>
      </c>
      <c r="F48" s="80">
        <v>0.20833333333333334</v>
      </c>
      <c r="G48" s="80">
        <v>0.014583333333333332</v>
      </c>
      <c r="H48" s="80">
        <f t="shared" si="15"/>
        <v>0.22291666666666668</v>
      </c>
      <c r="I48" s="81" t="s">
        <v>397</v>
      </c>
      <c r="J48" s="81">
        <v>8</v>
      </c>
      <c r="K48" s="265">
        <v>12</v>
      </c>
      <c r="L48" s="78">
        <v>27</v>
      </c>
      <c r="M48" s="78">
        <v>4</v>
      </c>
      <c r="N48" s="78">
        <v>2.5</v>
      </c>
      <c r="O48" s="82">
        <f>K48*1625088/N48/(1024*1024)</f>
        <v>7.4390625</v>
      </c>
      <c r="P48" s="83">
        <f t="shared" si="16"/>
        <v>0.26100777343750003</v>
      </c>
      <c r="Q48" s="83">
        <f t="shared" si="17"/>
        <v>0.13018359375000002</v>
      </c>
      <c r="R48" s="83">
        <f t="shared" si="18"/>
        <v>0.08707629296875001</v>
      </c>
      <c r="S48" s="84" t="s">
        <v>223</v>
      </c>
      <c r="T48" s="84" t="s">
        <v>211</v>
      </c>
      <c r="U48" s="131" t="s">
        <v>289</v>
      </c>
      <c r="V48" s="78" t="s">
        <v>107</v>
      </c>
    </row>
    <row r="49" spans="1:22" ht="25.5">
      <c r="A49" s="79" t="s">
        <v>53</v>
      </c>
      <c r="B49" s="78"/>
      <c r="C49" s="79" t="s">
        <v>282</v>
      </c>
      <c r="D49" s="138">
        <v>36590</v>
      </c>
      <c r="E49" s="84" t="s">
        <v>52</v>
      </c>
      <c r="F49" s="139">
        <v>0.2916666666666667</v>
      </c>
      <c r="G49" s="80">
        <v>0.020833333333333332</v>
      </c>
      <c r="H49" s="80">
        <f t="shared" si="15"/>
        <v>0.3125</v>
      </c>
      <c r="I49" s="78"/>
      <c r="J49" s="78">
        <v>8</v>
      </c>
      <c r="K49" s="265">
        <v>16</v>
      </c>
      <c r="L49" s="78">
        <v>18</v>
      </c>
      <c r="M49" s="78">
        <v>4</v>
      </c>
      <c r="N49" s="78">
        <v>2.5</v>
      </c>
      <c r="O49" s="82">
        <f>K49*1625088/N49/(1024*1024)</f>
        <v>9.91875</v>
      </c>
      <c r="P49" s="83">
        <f>O49*126.31/3600</f>
        <v>0.3480103645833333</v>
      </c>
      <c r="Q49" s="83">
        <f>O49*63/3600</f>
        <v>0.17357812499999997</v>
      </c>
      <c r="R49" s="83">
        <f>O49*42.139/3600</f>
        <v>0.11610172395833332</v>
      </c>
      <c r="S49" s="84" t="s">
        <v>223</v>
      </c>
      <c r="T49" s="84" t="s">
        <v>211</v>
      </c>
      <c r="U49" s="79" t="s">
        <v>54</v>
      </c>
      <c r="V49" s="78" t="s">
        <v>107</v>
      </c>
    </row>
    <row r="50" spans="1:22" ht="25.5">
      <c r="A50" s="132" t="s">
        <v>55</v>
      </c>
      <c r="B50" s="133"/>
      <c r="C50" s="132" t="s">
        <v>282</v>
      </c>
      <c r="D50" s="134">
        <v>36590</v>
      </c>
      <c r="E50" s="135" t="s">
        <v>52</v>
      </c>
      <c r="F50" s="136">
        <v>0.2916666666666667</v>
      </c>
      <c r="G50" s="137">
        <v>0.020833333333333332</v>
      </c>
      <c r="H50" s="137">
        <f t="shared" si="15"/>
        <v>0.3125</v>
      </c>
      <c r="I50" s="133"/>
      <c r="J50" s="133"/>
      <c r="K50" s="264">
        <v>140</v>
      </c>
      <c r="L50" s="133">
        <v>8</v>
      </c>
      <c r="M50" s="133"/>
      <c r="N50" s="133"/>
      <c r="O50" s="107">
        <f>K50*2864/2.5/1000000</f>
        <v>0.160384</v>
      </c>
      <c r="P50" s="108">
        <f>O50*126.31/3600</f>
        <v>0.005627250844444445</v>
      </c>
      <c r="Q50" s="108">
        <f>O50*63/3600</f>
        <v>0.00280672</v>
      </c>
      <c r="R50" s="108">
        <f>O50*42.139/3600</f>
        <v>0.0018773392711111112</v>
      </c>
      <c r="S50" s="135" t="s">
        <v>223</v>
      </c>
      <c r="T50" s="135" t="s">
        <v>211</v>
      </c>
      <c r="U50" s="132" t="s">
        <v>56</v>
      </c>
      <c r="V50" s="133" t="s">
        <v>107</v>
      </c>
    </row>
    <row r="51" spans="1:22" ht="25.5">
      <c r="A51" s="77" t="s">
        <v>57</v>
      </c>
      <c r="B51" s="78"/>
      <c r="C51" s="79" t="s">
        <v>282</v>
      </c>
      <c r="D51" s="119">
        <v>36590</v>
      </c>
      <c r="E51" s="120" t="s">
        <v>52</v>
      </c>
      <c r="F51" s="80">
        <v>0.3333333333333333</v>
      </c>
      <c r="G51" s="80">
        <v>0.006944444444444444</v>
      </c>
      <c r="H51" s="80">
        <f t="shared" si="15"/>
        <v>0.34027777777777773</v>
      </c>
      <c r="I51" s="78"/>
      <c r="J51" s="81">
        <v>12</v>
      </c>
      <c r="K51" s="265">
        <v>4</v>
      </c>
      <c r="L51" s="78">
        <v>29</v>
      </c>
      <c r="M51" s="78">
        <v>0</v>
      </c>
      <c r="N51" s="78">
        <v>2.5</v>
      </c>
      <c r="O51" s="82">
        <f>K51*1625088/N51/(1024*1024)</f>
        <v>2.4796875</v>
      </c>
      <c r="P51" s="83">
        <f>O51*126.31/3600</f>
        <v>0.08700259114583332</v>
      </c>
      <c r="Q51" s="83">
        <f>O51*63/3600</f>
        <v>0.04339453124999999</v>
      </c>
      <c r="R51" s="83">
        <f>O51*42.139/3600</f>
        <v>0.02902543098958333</v>
      </c>
      <c r="S51" s="84" t="s">
        <v>223</v>
      </c>
      <c r="T51" s="84" t="s">
        <v>37</v>
      </c>
      <c r="U51" s="79" t="s">
        <v>305</v>
      </c>
      <c r="V51" s="78" t="s">
        <v>107</v>
      </c>
    </row>
    <row r="52" spans="1:22" ht="25.5">
      <c r="A52" s="77" t="s">
        <v>58</v>
      </c>
      <c r="B52" s="78"/>
      <c r="C52" s="79" t="s">
        <v>282</v>
      </c>
      <c r="D52" s="119">
        <v>36590</v>
      </c>
      <c r="E52" s="120" t="s">
        <v>52</v>
      </c>
      <c r="F52" s="80">
        <v>0.4166666666666667</v>
      </c>
      <c r="G52" s="80">
        <v>0.014583333333333332</v>
      </c>
      <c r="H52" s="80">
        <f t="shared" si="15"/>
        <v>0.43125</v>
      </c>
      <c r="I52" s="81" t="s">
        <v>397</v>
      </c>
      <c r="J52" s="81">
        <v>8</v>
      </c>
      <c r="K52" s="265">
        <v>12</v>
      </c>
      <c r="L52" s="78">
        <v>27</v>
      </c>
      <c r="M52" s="78">
        <v>4</v>
      </c>
      <c r="N52" s="78">
        <v>2.5</v>
      </c>
      <c r="O52" s="82">
        <f>K52*1625088/N52/(1024*1024)</f>
        <v>7.4390625</v>
      </c>
      <c r="P52" s="83">
        <f>O52*126.31/3600</f>
        <v>0.26100777343750003</v>
      </c>
      <c r="Q52" s="83">
        <f>O52*63/3600</f>
        <v>0.13018359375000002</v>
      </c>
      <c r="R52" s="83">
        <f>O52*42.139/3600</f>
        <v>0.08707629296875001</v>
      </c>
      <c r="S52" s="84" t="s">
        <v>223</v>
      </c>
      <c r="T52" s="84" t="s">
        <v>211</v>
      </c>
      <c r="U52" s="131" t="s">
        <v>289</v>
      </c>
      <c r="V52" s="78" t="s">
        <v>107</v>
      </c>
    </row>
    <row r="53" spans="1:22" ht="25.5">
      <c r="A53" s="77" t="s">
        <v>59</v>
      </c>
      <c r="B53" s="78"/>
      <c r="C53" s="79" t="s">
        <v>282</v>
      </c>
      <c r="D53" s="119">
        <v>36590</v>
      </c>
      <c r="E53" s="120" t="s">
        <v>52</v>
      </c>
      <c r="F53" s="80">
        <v>0.686111111111111</v>
      </c>
      <c r="G53" s="80">
        <v>0.014583333333333332</v>
      </c>
      <c r="H53" s="80">
        <f t="shared" si="15"/>
        <v>0.7006944444444443</v>
      </c>
      <c r="I53" s="81" t="s">
        <v>397</v>
      </c>
      <c r="J53" s="81">
        <v>8</v>
      </c>
      <c r="K53" s="265">
        <v>12</v>
      </c>
      <c r="L53" s="78">
        <v>27</v>
      </c>
      <c r="M53" s="78">
        <v>4</v>
      </c>
      <c r="N53" s="78">
        <v>2.5</v>
      </c>
      <c r="O53" s="82">
        <f>K53*1625088/N53/(1024*1024)</f>
        <v>7.4390625</v>
      </c>
      <c r="P53" s="83">
        <f t="shared" si="16"/>
        <v>0.26100777343750003</v>
      </c>
      <c r="Q53" s="83">
        <f t="shared" si="17"/>
        <v>0.13018359375000002</v>
      </c>
      <c r="R53" s="83">
        <f t="shared" si="18"/>
        <v>0.08707629296875001</v>
      </c>
      <c r="S53" s="84" t="s">
        <v>223</v>
      </c>
      <c r="T53" s="84" t="s">
        <v>211</v>
      </c>
      <c r="U53" s="131" t="s">
        <v>289</v>
      </c>
      <c r="V53" s="78" t="s">
        <v>107</v>
      </c>
    </row>
    <row r="54" spans="1:22" ht="12.75">
      <c r="A54" s="110" t="s">
        <v>119</v>
      </c>
      <c r="B54" s="111">
        <v>45</v>
      </c>
      <c r="C54" s="112"/>
      <c r="D54" s="113">
        <v>36590</v>
      </c>
      <c r="E54" s="114" t="s">
        <v>52</v>
      </c>
      <c r="F54" s="115">
        <v>0.6909722222222222</v>
      </c>
      <c r="G54" s="115">
        <v>0.22916666666666666</v>
      </c>
      <c r="H54" s="116">
        <f t="shared" si="15"/>
        <v>0.9201388888888888</v>
      </c>
      <c r="I54" s="112"/>
      <c r="J54" s="112"/>
      <c r="K54" s="268"/>
      <c r="L54" s="112"/>
      <c r="M54" s="112"/>
      <c r="N54" s="112"/>
      <c r="O54" s="117">
        <f>SUM(O47:O53)</f>
        <v>42.3150715</v>
      </c>
      <c r="P54" s="117">
        <f>SUM(P47:P53)</f>
        <v>1.4846713003236112</v>
      </c>
      <c r="Q54" s="117">
        <f>SUM(Q47:Q53)</f>
        <v>0.74051375125</v>
      </c>
      <c r="R54" s="117">
        <f>SUM(R47:R53)</f>
        <v>0.4953096660940278</v>
      </c>
      <c r="S54" s="114"/>
      <c r="T54" s="114"/>
      <c r="U54" s="118"/>
      <c r="V54" s="118"/>
    </row>
    <row r="55" spans="1:22" ht="25.5">
      <c r="A55" s="77" t="s">
        <v>60</v>
      </c>
      <c r="B55" s="78"/>
      <c r="C55" s="79" t="s">
        <v>282</v>
      </c>
      <c r="D55" s="119">
        <v>36591</v>
      </c>
      <c r="E55" s="120" t="s">
        <v>61</v>
      </c>
      <c r="F55" s="80">
        <v>0.9305555555555555</v>
      </c>
      <c r="G55" s="80">
        <v>0.014583333333333332</v>
      </c>
      <c r="H55" s="80">
        <f t="shared" si="15"/>
        <v>0.9451388888888888</v>
      </c>
      <c r="I55" s="81" t="s">
        <v>397</v>
      </c>
      <c r="J55" s="81">
        <v>8</v>
      </c>
      <c r="K55" s="265">
        <v>12</v>
      </c>
      <c r="L55" s="78">
        <v>27</v>
      </c>
      <c r="M55" s="78">
        <v>4</v>
      </c>
      <c r="N55" s="78">
        <v>2.5</v>
      </c>
      <c r="O55" s="82">
        <f>K55*1625088/N55/(1024*1024)</f>
        <v>7.4390625</v>
      </c>
      <c r="P55" s="83">
        <f aca="true" t="shared" si="19" ref="P55:P63">O55*126.31/3600</f>
        <v>0.26100777343750003</v>
      </c>
      <c r="Q55" s="83">
        <f>O55*63/3600</f>
        <v>0.13018359375000002</v>
      </c>
      <c r="R55" s="83">
        <f aca="true" t="shared" si="20" ref="R55:R63">O55*42.139/3600</f>
        <v>0.08707629296875001</v>
      </c>
      <c r="S55" s="84" t="s">
        <v>223</v>
      </c>
      <c r="T55" s="84" t="s">
        <v>211</v>
      </c>
      <c r="U55" s="131" t="s">
        <v>289</v>
      </c>
      <c r="V55" s="78" t="s">
        <v>107</v>
      </c>
    </row>
    <row r="56" spans="1:22" ht="51">
      <c r="A56" s="160" t="s">
        <v>62</v>
      </c>
      <c r="B56" s="161"/>
      <c r="C56" s="160" t="s">
        <v>291</v>
      </c>
      <c r="D56" s="162">
        <v>36591</v>
      </c>
      <c r="E56" s="163" t="s">
        <v>61</v>
      </c>
      <c r="F56" s="164">
        <v>0.125</v>
      </c>
      <c r="G56" s="164">
        <v>0.25</v>
      </c>
      <c r="H56" s="165">
        <f t="shared" si="15"/>
        <v>0.375</v>
      </c>
      <c r="I56" s="161"/>
      <c r="J56" s="161">
        <v>12</v>
      </c>
      <c r="K56" s="269">
        <v>232</v>
      </c>
      <c r="L56" s="161">
        <v>18</v>
      </c>
      <c r="M56" s="161">
        <v>4</v>
      </c>
      <c r="N56" s="161">
        <v>2.6</v>
      </c>
      <c r="O56" s="166">
        <f>K56*1625088/N56/(1024*1024)</f>
        <v>138.2902644230769</v>
      </c>
      <c r="P56" s="167">
        <f t="shared" si="19"/>
        <v>4.852067583133012</v>
      </c>
      <c r="Q56" s="167">
        <f>O56*63/3600</f>
        <v>2.420079627403846</v>
      </c>
      <c r="R56" s="167">
        <f t="shared" si="20"/>
        <v>1.618725959034455</v>
      </c>
      <c r="S56" s="163" t="s">
        <v>223</v>
      </c>
      <c r="T56" s="163" t="s">
        <v>211</v>
      </c>
      <c r="U56" s="160" t="s">
        <v>63</v>
      </c>
      <c r="V56" s="161" t="s">
        <v>107</v>
      </c>
    </row>
    <row r="57" spans="1:22" ht="38.25">
      <c r="A57" s="149" t="s">
        <v>306</v>
      </c>
      <c r="B57" s="150" t="s">
        <v>102</v>
      </c>
      <c r="C57" s="149" t="s">
        <v>222</v>
      </c>
      <c r="D57" s="177">
        <v>36591</v>
      </c>
      <c r="E57" s="178" t="s">
        <v>61</v>
      </c>
      <c r="F57" s="154">
        <v>0.3958333333333333</v>
      </c>
      <c r="G57" s="154">
        <v>0.020833333333333332</v>
      </c>
      <c r="H57" s="154">
        <f t="shared" si="15"/>
        <v>0.41666666666666663</v>
      </c>
      <c r="I57" s="150" t="s">
        <v>102</v>
      </c>
      <c r="J57" s="150">
        <v>12</v>
      </c>
      <c r="K57" s="267">
        <v>112</v>
      </c>
      <c r="L57" s="179" t="s">
        <v>307</v>
      </c>
      <c r="M57" s="195" t="s">
        <v>103</v>
      </c>
      <c r="N57" s="155">
        <v>2.5</v>
      </c>
      <c r="O57" s="156">
        <f>K57*1625088/N57/(1024*1024)</f>
        <v>69.43125</v>
      </c>
      <c r="P57" s="157">
        <f t="shared" si="19"/>
        <v>2.4360725520833335</v>
      </c>
      <c r="Q57" s="157">
        <f aca="true" t="shared" si="21" ref="Q57:Q63">O57*63/3600</f>
        <v>1.2150468750000003</v>
      </c>
      <c r="R57" s="157">
        <f t="shared" si="20"/>
        <v>0.8127120677083335</v>
      </c>
      <c r="S57" s="152" t="s">
        <v>223</v>
      </c>
      <c r="T57" s="152" t="s">
        <v>308</v>
      </c>
      <c r="U57" s="149" t="s">
        <v>416</v>
      </c>
      <c r="V57" s="150" t="s">
        <v>107</v>
      </c>
    </row>
    <row r="58" spans="1:22" ht="25.5">
      <c r="A58" s="149" t="s">
        <v>203</v>
      </c>
      <c r="B58" s="150" t="s">
        <v>102</v>
      </c>
      <c r="C58" s="149" t="s">
        <v>282</v>
      </c>
      <c r="D58" s="177">
        <v>36591</v>
      </c>
      <c r="E58" s="178" t="s">
        <v>61</v>
      </c>
      <c r="F58" s="154">
        <v>0.4201388888888889</v>
      </c>
      <c r="G58" s="154">
        <v>0.006944444444444444</v>
      </c>
      <c r="H58" s="154">
        <f t="shared" si="15"/>
        <v>0.4270833333333333</v>
      </c>
      <c r="I58" s="150" t="s">
        <v>102</v>
      </c>
      <c r="J58" s="150">
        <v>12</v>
      </c>
      <c r="K58" s="267">
        <v>8</v>
      </c>
      <c r="L58" s="179">
        <v>1</v>
      </c>
      <c r="M58" s="155" t="s">
        <v>215</v>
      </c>
      <c r="N58" s="155">
        <v>2.5</v>
      </c>
      <c r="O58" s="156">
        <f>K58*1625088/N58/(1024*1024)</f>
        <v>4.959375</v>
      </c>
      <c r="P58" s="157">
        <f t="shared" si="19"/>
        <v>0.17400518229166664</v>
      </c>
      <c r="Q58" s="157">
        <f t="shared" si="21"/>
        <v>0.08678906249999999</v>
      </c>
      <c r="R58" s="157">
        <f t="shared" si="20"/>
        <v>0.05805086197916666</v>
      </c>
      <c r="S58" s="152" t="s">
        <v>223</v>
      </c>
      <c r="T58" s="152" t="s">
        <v>308</v>
      </c>
      <c r="U58" s="149" t="s">
        <v>167</v>
      </c>
      <c r="V58" s="150" t="s">
        <v>107</v>
      </c>
    </row>
    <row r="59" spans="1:22" ht="25.5">
      <c r="A59" s="77" t="s">
        <v>168</v>
      </c>
      <c r="B59" s="78"/>
      <c r="C59" s="79" t="s">
        <v>282</v>
      </c>
      <c r="D59" s="119">
        <v>36591</v>
      </c>
      <c r="E59" s="120" t="s">
        <v>61</v>
      </c>
      <c r="F59" s="80">
        <v>0.4583333333333333</v>
      </c>
      <c r="G59" s="80">
        <v>0.014583333333333332</v>
      </c>
      <c r="H59" s="80">
        <f t="shared" si="15"/>
        <v>0.47291666666666665</v>
      </c>
      <c r="I59" s="81" t="s">
        <v>287</v>
      </c>
      <c r="J59" s="81">
        <v>8</v>
      </c>
      <c r="K59" s="265">
        <v>12</v>
      </c>
      <c r="L59" s="78">
        <v>27</v>
      </c>
      <c r="M59" s="78">
        <v>4</v>
      </c>
      <c r="N59" s="78">
        <v>2.5</v>
      </c>
      <c r="O59" s="82">
        <f>2*K59*1625088/N59/(1024*1024)</f>
        <v>14.878125</v>
      </c>
      <c r="P59" s="83">
        <f t="shared" si="19"/>
        <v>0.5220155468750001</v>
      </c>
      <c r="Q59" s="83">
        <f t="shared" si="21"/>
        <v>0.26036718750000004</v>
      </c>
      <c r="R59" s="83">
        <f t="shared" si="20"/>
        <v>0.17415258593750002</v>
      </c>
      <c r="S59" s="84" t="s">
        <v>223</v>
      </c>
      <c r="T59" s="84" t="s">
        <v>211</v>
      </c>
      <c r="U59" s="131" t="s">
        <v>289</v>
      </c>
      <c r="V59" s="78" t="s">
        <v>107</v>
      </c>
    </row>
    <row r="60" spans="1:22" ht="25.5">
      <c r="A60" s="77" t="s">
        <v>169</v>
      </c>
      <c r="B60" s="78"/>
      <c r="C60" s="79" t="s">
        <v>282</v>
      </c>
      <c r="D60" s="119">
        <v>36591</v>
      </c>
      <c r="E60" s="120" t="s">
        <v>61</v>
      </c>
      <c r="F60" s="80">
        <v>0.5</v>
      </c>
      <c r="G60" s="80">
        <v>0.006944444444444444</v>
      </c>
      <c r="H60" s="80">
        <f t="shared" si="15"/>
        <v>0.5069444444444444</v>
      </c>
      <c r="I60" s="78"/>
      <c r="J60" s="81">
        <v>12</v>
      </c>
      <c r="K60" s="265">
        <v>4</v>
      </c>
      <c r="L60" s="78">
        <v>29</v>
      </c>
      <c r="M60" s="78">
        <v>0</v>
      </c>
      <c r="N60" s="78">
        <v>2.5</v>
      </c>
      <c r="O60" s="82">
        <f>K60*1625088/N60/(1024*1024)</f>
        <v>2.4796875</v>
      </c>
      <c r="P60" s="83">
        <f t="shared" si="19"/>
        <v>0.08700259114583332</v>
      </c>
      <c r="Q60" s="83">
        <f t="shared" si="21"/>
        <v>0.04339453124999999</v>
      </c>
      <c r="R60" s="83">
        <f t="shared" si="20"/>
        <v>0.02902543098958333</v>
      </c>
      <c r="S60" s="84" t="s">
        <v>223</v>
      </c>
      <c r="T60" s="84" t="s">
        <v>37</v>
      </c>
      <c r="U60" s="79" t="s">
        <v>305</v>
      </c>
      <c r="V60" s="78" t="s">
        <v>107</v>
      </c>
    </row>
    <row r="61" spans="1:22" ht="25.5">
      <c r="A61" s="79" t="s">
        <v>170</v>
      </c>
      <c r="B61" s="78"/>
      <c r="C61" s="79" t="s">
        <v>282</v>
      </c>
      <c r="D61" s="138">
        <v>36591</v>
      </c>
      <c r="E61" s="84" t="s">
        <v>61</v>
      </c>
      <c r="F61" s="139">
        <v>0.5416666666666666</v>
      </c>
      <c r="G61" s="80">
        <v>0.020833333333333332</v>
      </c>
      <c r="H61" s="80">
        <f t="shared" si="15"/>
        <v>0.5625</v>
      </c>
      <c r="I61" s="78"/>
      <c r="J61" s="78">
        <v>8</v>
      </c>
      <c r="K61" s="265">
        <v>16</v>
      </c>
      <c r="L61" s="78">
        <v>18</v>
      </c>
      <c r="M61" s="78">
        <v>4</v>
      </c>
      <c r="N61" s="78">
        <v>2.5</v>
      </c>
      <c r="O61" s="82">
        <f>K61*1625088/N61/(1024*1024)</f>
        <v>9.91875</v>
      </c>
      <c r="P61" s="83">
        <f t="shared" si="19"/>
        <v>0.3480103645833333</v>
      </c>
      <c r="Q61" s="83">
        <f t="shared" si="21"/>
        <v>0.17357812499999997</v>
      </c>
      <c r="R61" s="83">
        <f t="shared" si="20"/>
        <v>0.11610172395833332</v>
      </c>
      <c r="S61" s="84" t="s">
        <v>223</v>
      </c>
      <c r="T61" s="84" t="s">
        <v>211</v>
      </c>
      <c r="U61" s="79" t="s">
        <v>171</v>
      </c>
      <c r="V61" s="78" t="s">
        <v>107</v>
      </c>
    </row>
    <row r="62" spans="1:22" ht="25.5">
      <c r="A62" s="132" t="s">
        <v>172</v>
      </c>
      <c r="B62" s="133"/>
      <c r="C62" s="132" t="s">
        <v>282</v>
      </c>
      <c r="D62" s="134">
        <v>36591</v>
      </c>
      <c r="E62" s="135" t="s">
        <v>61</v>
      </c>
      <c r="F62" s="136">
        <v>0.5416666666666666</v>
      </c>
      <c r="G62" s="137">
        <v>0.020833333333333332</v>
      </c>
      <c r="H62" s="137">
        <f t="shared" si="15"/>
        <v>0.5625</v>
      </c>
      <c r="I62" s="133"/>
      <c r="J62" s="133"/>
      <c r="K62" s="264">
        <v>140</v>
      </c>
      <c r="L62" s="133">
        <v>8</v>
      </c>
      <c r="M62" s="133"/>
      <c r="N62" s="133"/>
      <c r="O62" s="107">
        <f>K62*2864/2.5/1000000</f>
        <v>0.160384</v>
      </c>
      <c r="P62" s="108">
        <f>O62*126.31/3600</f>
        <v>0.005627250844444445</v>
      </c>
      <c r="Q62" s="108">
        <f>O62*63/3600</f>
        <v>0.00280672</v>
      </c>
      <c r="R62" s="108">
        <f>O62*42.139/3600</f>
        <v>0.0018773392711111112</v>
      </c>
      <c r="S62" s="135" t="s">
        <v>223</v>
      </c>
      <c r="T62" s="135" t="s">
        <v>211</v>
      </c>
      <c r="U62" s="132" t="s">
        <v>288</v>
      </c>
      <c r="V62" s="133" t="s">
        <v>107</v>
      </c>
    </row>
    <row r="63" spans="1:22" ht="25.5">
      <c r="A63" s="77" t="s">
        <v>229</v>
      </c>
      <c r="B63" s="78"/>
      <c r="C63" s="79" t="s">
        <v>282</v>
      </c>
      <c r="D63" s="119">
        <v>36591</v>
      </c>
      <c r="E63" s="120" t="s">
        <v>61</v>
      </c>
      <c r="F63" s="80">
        <v>0.6527777777777778</v>
      </c>
      <c r="G63" s="80">
        <v>0.014583333333333332</v>
      </c>
      <c r="H63" s="80">
        <f t="shared" si="15"/>
        <v>0.6673611111111111</v>
      </c>
      <c r="I63" s="81" t="s">
        <v>287</v>
      </c>
      <c r="J63" s="81">
        <v>8</v>
      </c>
      <c r="K63" s="265">
        <v>12</v>
      </c>
      <c r="L63" s="78">
        <v>27</v>
      </c>
      <c r="M63" s="78">
        <v>4</v>
      </c>
      <c r="N63" s="78">
        <v>2.5</v>
      </c>
      <c r="O63" s="82">
        <f>2*K63*1625088/N63/(1024*1024)</f>
        <v>14.878125</v>
      </c>
      <c r="P63" s="83">
        <f t="shared" si="19"/>
        <v>0.5220155468750001</v>
      </c>
      <c r="Q63" s="83">
        <f t="shared" si="21"/>
        <v>0.26036718750000004</v>
      </c>
      <c r="R63" s="83">
        <f t="shared" si="20"/>
        <v>0.17415258593750002</v>
      </c>
      <c r="S63" s="84" t="s">
        <v>223</v>
      </c>
      <c r="T63" s="84" t="s">
        <v>211</v>
      </c>
      <c r="U63" s="131" t="s">
        <v>289</v>
      </c>
      <c r="V63" s="78" t="s">
        <v>107</v>
      </c>
    </row>
    <row r="64" spans="1:22" ht="12.75">
      <c r="A64" s="388" t="s">
        <v>75</v>
      </c>
      <c r="B64" s="389">
        <v>43</v>
      </c>
      <c r="C64" s="390"/>
      <c r="D64" s="391">
        <v>36591</v>
      </c>
      <c r="E64" s="392" t="s">
        <v>61</v>
      </c>
      <c r="F64" s="393">
        <v>0.6701388888888888</v>
      </c>
      <c r="G64" s="393">
        <v>0.2708333333333333</v>
      </c>
      <c r="H64" s="394">
        <f>SUM(F64:G64)</f>
        <v>0.9409722222222221</v>
      </c>
      <c r="I64" s="390"/>
      <c r="J64" s="390"/>
      <c r="K64" s="395"/>
      <c r="L64" s="390"/>
      <c r="M64" s="390"/>
      <c r="N64" s="390"/>
      <c r="O64" s="396">
        <f>SUM(O54:O62)</f>
        <v>289.87196992307696</v>
      </c>
      <c r="P64" s="396">
        <f>SUM(P54:P62)</f>
        <v>10.170480144717734</v>
      </c>
      <c r="Q64" s="396">
        <f>SUM(Q54:Q62)</f>
        <v>5.0727594736538455</v>
      </c>
      <c r="R64" s="396">
        <f>SUM(R54:R62)</f>
        <v>3.3930319279412613</v>
      </c>
      <c r="S64" s="392"/>
      <c r="T64" s="392"/>
      <c r="U64" s="397"/>
      <c r="V64" s="397"/>
    </row>
    <row r="65" spans="1:22" ht="13.5" thickBot="1">
      <c r="A65" s="378" t="s">
        <v>417</v>
      </c>
      <c r="B65" s="379"/>
      <c r="C65" s="380"/>
      <c r="D65" s="381"/>
      <c r="E65" s="382"/>
      <c r="F65" s="383"/>
      <c r="G65" s="383"/>
      <c r="H65" s="384"/>
      <c r="I65" s="380"/>
      <c r="J65" s="380"/>
      <c r="K65" s="385">
        <f>SUM(K2:K63)-K62-K50-K34-K3</f>
        <v>1368</v>
      </c>
      <c r="L65" s="380"/>
      <c r="M65" s="380"/>
      <c r="N65" s="380"/>
      <c r="O65" s="386"/>
      <c r="P65" s="386"/>
      <c r="Q65" s="386"/>
      <c r="R65" s="386"/>
      <c r="S65" s="382"/>
      <c r="T65" s="382"/>
      <c r="U65" s="387"/>
      <c r="V65" s="387"/>
    </row>
    <row r="66" spans="1:22" ht="25.5">
      <c r="A66" s="180" t="s">
        <v>225</v>
      </c>
      <c r="B66" s="181"/>
      <c r="C66" s="180" t="s">
        <v>282</v>
      </c>
      <c r="D66" s="182">
        <v>36225</v>
      </c>
      <c r="E66" s="183" t="s">
        <v>276</v>
      </c>
      <c r="F66" s="184">
        <v>0.9409722222222222</v>
      </c>
      <c r="G66" s="184">
        <v>0.017361111111111112</v>
      </c>
      <c r="H66" s="185">
        <f>SUM(G66+F66)</f>
        <v>0.9583333333333334</v>
      </c>
      <c r="I66" s="184"/>
      <c r="J66" s="186">
        <v>8</v>
      </c>
      <c r="K66" s="271">
        <v>16</v>
      </c>
      <c r="L66" s="187">
        <v>18</v>
      </c>
      <c r="M66" s="187">
        <v>4</v>
      </c>
      <c r="N66" s="187">
        <v>3</v>
      </c>
      <c r="O66" s="188">
        <f>K66*1625088/N66/(1024*1024)</f>
        <v>8.265625</v>
      </c>
      <c r="P66" s="189">
        <f>O66*126.31/3600</f>
        <v>0.2900086371527778</v>
      </c>
      <c r="Q66" s="189">
        <f>O66*63/3600</f>
        <v>0.1446484375</v>
      </c>
      <c r="R66" s="189">
        <f>O66*42.139/3600</f>
        <v>0.09675143663194445</v>
      </c>
      <c r="S66" s="183" t="s">
        <v>262</v>
      </c>
      <c r="T66" s="189" t="s">
        <v>211</v>
      </c>
      <c r="U66" s="190" t="s">
        <v>36</v>
      </c>
      <c r="V66" s="180" t="s">
        <v>107</v>
      </c>
    </row>
    <row r="67" spans="1:22" ht="24.75" customHeight="1">
      <c r="A67" s="42" t="s">
        <v>252</v>
      </c>
      <c r="B67" s="41"/>
      <c r="C67" s="42" t="s">
        <v>222</v>
      </c>
      <c r="D67" s="43">
        <v>36592</v>
      </c>
      <c r="E67" s="44" t="s">
        <v>277</v>
      </c>
      <c r="F67" s="45">
        <v>0.125</v>
      </c>
      <c r="G67" s="45">
        <v>0.07430555555555556</v>
      </c>
      <c r="H67" s="46">
        <f>SUM(F67:G67)</f>
        <v>0.19930555555555557</v>
      </c>
      <c r="I67" s="45"/>
      <c r="J67" s="47">
        <v>8</v>
      </c>
      <c r="K67" s="272">
        <v>150</v>
      </c>
      <c r="L67" s="48">
        <v>1</v>
      </c>
      <c r="M67" s="48">
        <v>4</v>
      </c>
      <c r="N67" s="48">
        <v>3</v>
      </c>
      <c r="O67" s="49">
        <f>K67*1625088/N67/(1024*1024)</f>
        <v>77.490234375</v>
      </c>
      <c r="P67" s="50">
        <f>O67*126.31/3600</f>
        <v>2.7188309733072917</v>
      </c>
      <c r="Q67" s="50">
        <f>O67*63/3600</f>
        <v>1.3560791015625</v>
      </c>
      <c r="R67" s="50">
        <f>O67*42.139/3600</f>
        <v>0.9070447184244793</v>
      </c>
      <c r="S67" s="44" t="s">
        <v>262</v>
      </c>
      <c r="T67" s="50" t="s">
        <v>211</v>
      </c>
      <c r="U67" s="51" t="s">
        <v>353</v>
      </c>
      <c r="V67" s="42" t="s">
        <v>107</v>
      </c>
    </row>
    <row r="68" spans="1:22" ht="25.5">
      <c r="A68" s="85" t="s">
        <v>226</v>
      </c>
      <c r="B68" s="86"/>
      <c r="C68" s="85" t="s">
        <v>282</v>
      </c>
      <c r="D68" s="87">
        <v>36226</v>
      </c>
      <c r="E68" s="88" t="s">
        <v>277</v>
      </c>
      <c r="F68" s="89">
        <v>0.2916666666666667</v>
      </c>
      <c r="G68" s="89">
        <v>0.017361111111111112</v>
      </c>
      <c r="H68" s="90">
        <f>SUM(G68+F68)</f>
        <v>0.3090277777777778</v>
      </c>
      <c r="I68" s="89"/>
      <c r="J68" s="91">
        <v>8</v>
      </c>
      <c r="K68" s="273">
        <v>16</v>
      </c>
      <c r="L68" s="92">
        <v>18</v>
      </c>
      <c r="M68" s="92">
        <v>4</v>
      </c>
      <c r="N68" s="92">
        <v>3</v>
      </c>
      <c r="O68" s="93">
        <f>K68*1625088/N68/(1024*1024)</f>
        <v>8.265625</v>
      </c>
      <c r="P68" s="94">
        <f>O68*126.31/3600</f>
        <v>0.2900086371527778</v>
      </c>
      <c r="Q68" s="94">
        <f>O68*63/3600</f>
        <v>0.1446484375</v>
      </c>
      <c r="R68" s="94">
        <f>O68*42.139/3600</f>
        <v>0.09675143663194445</v>
      </c>
      <c r="S68" s="88" t="s">
        <v>262</v>
      </c>
      <c r="T68" s="94" t="s">
        <v>211</v>
      </c>
      <c r="U68" s="95" t="s">
        <v>36</v>
      </c>
      <c r="V68" s="85" t="s">
        <v>107</v>
      </c>
    </row>
    <row r="69" spans="1:22" ht="25.5">
      <c r="A69" s="85" t="s">
        <v>227</v>
      </c>
      <c r="B69" s="86"/>
      <c r="C69" s="85" t="s">
        <v>282</v>
      </c>
      <c r="D69" s="87">
        <v>36226</v>
      </c>
      <c r="E69" s="88" t="s">
        <v>277</v>
      </c>
      <c r="F69" s="89">
        <v>0.4756944444444444</v>
      </c>
      <c r="G69" s="89">
        <v>0.013888888888888888</v>
      </c>
      <c r="H69" s="90">
        <f>SUM(G69+F69)</f>
        <v>0.4895833333333333</v>
      </c>
      <c r="I69" s="89"/>
      <c r="J69" s="91">
        <v>8</v>
      </c>
      <c r="K69" s="273">
        <v>9</v>
      </c>
      <c r="L69" s="92">
        <v>18</v>
      </c>
      <c r="M69" s="92">
        <v>4</v>
      </c>
      <c r="N69" s="92">
        <v>3</v>
      </c>
      <c r="O69" s="93">
        <f>K69*1625088/N69/(1024*1024)</f>
        <v>4.6494140625</v>
      </c>
      <c r="P69" s="94">
        <f>O69*126.31/3600</f>
        <v>0.16312985839843752</v>
      </c>
      <c r="Q69" s="94">
        <f>O69*63/3600</f>
        <v>0.08136474609375</v>
      </c>
      <c r="R69" s="94">
        <f>O69*42.139/3600</f>
        <v>0.05442268310546875</v>
      </c>
      <c r="S69" s="88" t="s">
        <v>262</v>
      </c>
      <c r="T69" s="94" t="s">
        <v>211</v>
      </c>
      <c r="U69" s="95" t="s">
        <v>19</v>
      </c>
      <c r="V69" s="85" t="s">
        <v>107</v>
      </c>
    </row>
    <row r="70" spans="1:22" ht="12.75">
      <c r="A70" s="193" t="s">
        <v>372</v>
      </c>
      <c r="B70" s="12">
        <v>43</v>
      </c>
      <c r="C70" s="32"/>
      <c r="D70" s="33">
        <v>36226</v>
      </c>
      <c r="E70" s="34" t="s">
        <v>277</v>
      </c>
      <c r="F70" s="35">
        <v>0.4861111111111111</v>
      </c>
      <c r="G70" s="35">
        <v>0.34375</v>
      </c>
      <c r="H70" s="36">
        <f>SUM(F70:G70)</f>
        <v>0.8298611111111112</v>
      </c>
      <c r="I70" s="37"/>
      <c r="J70" s="38"/>
      <c r="K70" s="274"/>
      <c r="L70" s="37"/>
      <c r="M70" s="37"/>
      <c r="N70" s="37"/>
      <c r="O70" s="39">
        <f>SUM(O66:O69)</f>
        <v>98.6708984375</v>
      </c>
      <c r="P70" s="39">
        <f>SUM(P66:P69)</f>
        <v>3.4619781060112853</v>
      </c>
      <c r="Q70" s="39">
        <f>SUM(Q66:Q69)</f>
        <v>1.72674072265625</v>
      </c>
      <c r="R70" s="39">
        <f>SUM(R66:R69)</f>
        <v>1.154970274793837</v>
      </c>
      <c r="S70" s="34"/>
      <c r="T70" s="39"/>
      <c r="U70" s="40"/>
      <c r="V70" s="32"/>
    </row>
    <row r="71" spans="1:22" ht="25.5">
      <c r="A71" s="85" t="s">
        <v>228</v>
      </c>
      <c r="B71" s="86"/>
      <c r="C71" s="85" t="s">
        <v>282</v>
      </c>
      <c r="D71" s="87">
        <v>36226</v>
      </c>
      <c r="E71" s="88" t="s">
        <v>277</v>
      </c>
      <c r="F71" s="89">
        <v>0.8298611111111112</v>
      </c>
      <c r="G71" s="89">
        <v>0.017361111111111112</v>
      </c>
      <c r="H71" s="90">
        <f>SUM(G71+F71)</f>
        <v>0.8472222222222223</v>
      </c>
      <c r="I71" s="89"/>
      <c r="J71" s="91">
        <v>8</v>
      </c>
      <c r="K71" s="273">
        <v>12</v>
      </c>
      <c r="L71" s="92">
        <v>18</v>
      </c>
      <c r="M71" s="92">
        <v>4</v>
      </c>
      <c r="N71" s="92">
        <v>3</v>
      </c>
      <c r="O71" s="93">
        <f>K71*1625088/N71/(1024*1024)</f>
        <v>6.19921875</v>
      </c>
      <c r="P71" s="94">
        <f>O71*126.31/3600</f>
        <v>0.21750647786458333</v>
      </c>
      <c r="Q71" s="94">
        <f>O71*63/3600</f>
        <v>0.108486328125</v>
      </c>
      <c r="R71" s="94">
        <f>O71*42.139/3600</f>
        <v>0.07256357747395835</v>
      </c>
      <c r="S71" s="88" t="s">
        <v>262</v>
      </c>
      <c r="T71" s="94" t="s">
        <v>211</v>
      </c>
      <c r="U71" s="95" t="s">
        <v>20</v>
      </c>
      <c r="V71" s="85" t="s">
        <v>107</v>
      </c>
    </row>
    <row r="72" spans="1:22" ht="21" customHeight="1">
      <c r="A72" s="77" t="s">
        <v>309</v>
      </c>
      <c r="B72" s="78"/>
      <c r="C72" s="79" t="s">
        <v>282</v>
      </c>
      <c r="D72" s="87">
        <v>36226</v>
      </c>
      <c r="E72" s="88" t="s">
        <v>277</v>
      </c>
      <c r="F72" s="80">
        <v>0.8506944444444445</v>
      </c>
      <c r="G72" s="80">
        <v>0.017361111111111112</v>
      </c>
      <c r="H72" s="80">
        <f>SUM(F72:G72)</f>
        <v>0.8680555555555557</v>
      </c>
      <c r="I72" s="78"/>
      <c r="J72" s="81">
        <v>12</v>
      </c>
      <c r="K72" s="265">
        <v>4</v>
      </c>
      <c r="L72" s="78">
        <v>29</v>
      </c>
      <c r="M72" s="78">
        <v>0</v>
      </c>
      <c r="N72" s="78">
        <v>2.5</v>
      </c>
      <c r="O72" s="82">
        <f>K72*1625088/N72/(1024*1024)</f>
        <v>2.4796875</v>
      </c>
      <c r="P72" s="94">
        <f>N72*63/3600</f>
        <v>0.04375</v>
      </c>
      <c r="Q72" s="83">
        <f>O72*63/3600</f>
        <v>0.04339453124999999</v>
      </c>
      <c r="R72" s="83">
        <f>O72*42.139/3600</f>
        <v>0.02902543098958333</v>
      </c>
      <c r="S72" s="84" t="s">
        <v>262</v>
      </c>
      <c r="T72" s="84" t="s">
        <v>37</v>
      </c>
      <c r="U72" s="109" t="s">
        <v>305</v>
      </c>
      <c r="V72" s="85" t="s">
        <v>107</v>
      </c>
    </row>
    <row r="73" spans="1:22" ht="24.75" customHeight="1">
      <c r="A73" s="42" t="s">
        <v>354</v>
      </c>
      <c r="B73" s="41"/>
      <c r="C73" s="42" t="s">
        <v>222</v>
      </c>
      <c r="D73" s="43">
        <v>36592</v>
      </c>
      <c r="E73" s="44" t="s">
        <v>277</v>
      </c>
      <c r="F73" s="45">
        <v>0.8923611111111112</v>
      </c>
      <c r="G73" s="45">
        <v>0.04652777777777778</v>
      </c>
      <c r="H73" s="46">
        <f>SUM(F73:G73)</f>
        <v>0.9388888888888889</v>
      </c>
      <c r="I73" s="45"/>
      <c r="J73" s="47">
        <v>8</v>
      </c>
      <c r="K73" s="272">
        <v>90</v>
      </c>
      <c r="L73" s="48">
        <v>1</v>
      </c>
      <c r="M73" s="48">
        <v>4</v>
      </c>
      <c r="N73" s="48">
        <v>3</v>
      </c>
      <c r="O73" s="49">
        <f>K73*1625088/N73/(1024*1024)</f>
        <v>46.494140625</v>
      </c>
      <c r="P73" s="50">
        <f>O73*126.31/3600</f>
        <v>1.6312985839843752</v>
      </c>
      <c r="Q73" s="50">
        <f>O73*63/3600</f>
        <v>0.8136474609375</v>
      </c>
      <c r="R73" s="50">
        <f>O73*42.139/3600</f>
        <v>0.5442268310546875</v>
      </c>
      <c r="S73" s="44" t="s">
        <v>262</v>
      </c>
      <c r="T73" s="50" t="s">
        <v>211</v>
      </c>
      <c r="U73" s="51" t="s">
        <v>353</v>
      </c>
      <c r="V73" s="42" t="s">
        <v>107</v>
      </c>
    </row>
    <row r="74" spans="1:22" ht="24.75" customHeight="1">
      <c r="A74" s="42" t="s">
        <v>355</v>
      </c>
      <c r="B74" s="41"/>
      <c r="C74" s="42" t="s">
        <v>222</v>
      </c>
      <c r="D74" s="43">
        <v>36592</v>
      </c>
      <c r="E74" s="44" t="s">
        <v>277</v>
      </c>
      <c r="F74" s="45">
        <v>0.9395833333333333</v>
      </c>
      <c r="G74" s="45">
        <v>0.2354166666666667</v>
      </c>
      <c r="H74" s="46">
        <f>SUM(F74:G74)</f>
        <v>1.175</v>
      </c>
      <c r="I74" s="45"/>
      <c r="J74" s="47">
        <v>8</v>
      </c>
      <c r="K74" s="272">
        <v>288</v>
      </c>
      <c r="L74" s="48">
        <v>18</v>
      </c>
      <c r="M74" s="48">
        <v>4</v>
      </c>
      <c r="N74" s="48">
        <v>3</v>
      </c>
      <c r="O74" s="49">
        <f>K74*1625088/N74/(1024*1024)</f>
        <v>148.78125</v>
      </c>
      <c r="P74" s="50">
        <f>O74*126.31/3600</f>
        <v>5.220155468750001</v>
      </c>
      <c r="Q74" s="50">
        <f>O74*63/3600</f>
        <v>2.603671875</v>
      </c>
      <c r="R74" s="50">
        <f>O74*42.139/3600</f>
        <v>1.741525859375</v>
      </c>
      <c r="S74" s="44" t="s">
        <v>262</v>
      </c>
      <c r="T74" s="50" t="s">
        <v>211</v>
      </c>
      <c r="U74" s="51" t="s">
        <v>21</v>
      </c>
      <c r="V74" s="42" t="s">
        <v>107</v>
      </c>
    </row>
    <row r="75" spans="1:22" ht="25.5">
      <c r="A75" s="85" t="s">
        <v>22</v>
      </c>
      <c r="B75" s="86"/>
      <c r="C75" s="85" t="s">
        <v>282</v>
      </c>
      <c r="D75" s="87">
        <v>36227</v>
      </c>
      <c r="E75" s="88" t="s">
        <v>278</v>
      </c>
      <c r="F75" s="89">
        <v>0.17013888888888887</v>
      </c>
      <c r="G75" s="89">
        <v>0.017361111111111112</v>
      </c>
      <c r="H75" s="90">
        <f>SUM(G75+F75)</f>
        <v>0.18749999999999997</v>
      </c>
      <c r="I75" s="89"/>
      <c r="J75" s="91">
        <v>8</v>
      </c>
      <c r="K75" s="273">
        <v>16</v>
      </c>
      <c r="L75" s="92">
        <v>18</v>
      </c>
      <c r="M75" s="92">
        <v>4</v>
      </c>
      <c r="N75" s="92">
        <v>3</v>
      </c>
      <c r="O75" s="93">
        <f>K75*1625088/N75/(1024*1024)</f>
        <v>8.265625</v>
      </c>
      <c r="P75" s="94">
        <f>O75*126.31/3600</f>
        <v>0.2900086371527778</v>
      </c>
      <c r="Q75" s="94">
        <f>O75*63/3600</f>
        <v>0.1446484375</v>
      </c>
      <c r="R75" s="94">
        <f>O75*42.139/3600</f>
        <v>0.09675143663194445</v>
      </c>
      <c r="S75" s="88" t="s">
        <v>262</v>
      </c>
      <c r="T75" s="94" t="s">
        <v>211</v>
      </c>
      <c r="U75" s="95" t="s">
        <v>36</v>
      </c>
      <c r="V75" s="85" t="s">
        <v>107</v>
      </c>
    </row>
    <row r="76" spans="1:22" ht="12.75">
      <c r="A76" s="191" t="s">
        <v>35</v>
      </c>
      <c r="B76" s="52">
        <v>63</v>
      </c>
      <c r="C76" s="53"/>
      <c r="D76" s="54">
        <v>36227</v>
      </c>
      <c r="E76" s="55" t="s">
        <v>278</v>
      </c>
      <c r="F76" s="56">
        <v>0.1909722222222222</v>
      </c>
      <c r="G76" s="56">
        <v>0.2534722222222222</v>
      </c>
      <c r="H76" s="57">
        <f>SUM(F76:G76)</f>
        <v>0.4444444444444444</v>
      </c>
      <c r="I76" s="58"/>
      <c r="J76" s="59"/>
      <c r="K76" s="275"/>
      <c r="L76" s="58"/>
      <c r="M76" s="58"/>
      <c r="N76" s="58"/>
      <c r="O76" s="60">
        <f>SUM(O71:O75)</f>
        <v>212.219921875</v>
      </c>
      <c r="P76" s="60">
        <f>SUM(P71:P75)</f>
        <v>7.402719167751737</v>
      </c>
      <c r="Q76" s="60">
        <f>SUM(Q71:Q75)</f>
        <v>3.7138486328124998</v>
      </c>
      <c r="R76" s="60">
        <f>SUM(R71:R75)</f>
        <v>2.484093135525174</v>
      </c>
      <c r="S76" s="55"/>
      <c r="T76" s="60"/>
      <c r="U76" s="61"/>
      <c r="V76" s="53"/>
    </row>
    <row r="77" spans="1:22" ht="12.75">
      <c r="A77" s="192" t="s">
        <v>418</v>
      </c>
      <c r="B77" s="65"/>
      <c r="C77" s="64"/>
      <c r="D77" s="66"/>
      <c r="E77" s="67" t="s">
        <v>278</v>
      </c>
      <c r="F77" s="68">
        <v>0.25</v>
      </c>
      <c r="G77" s="68"/>
      <c r="H77" s="69"/>
      <c r="I77" s="68"/>
      <c r="J77" s="70"/>
      <c r="K77" s="276"/>
      <c r="L77" s="71"/>
      <c r="M77" s="71"/>
      <c r="N77" s="71"/>
      <c r="O77" s="72"/>
      <c r="P77" s="73"/>
      <c r="Q77" s="73"/>
      <c r="R77" s="73"/>
      <c r="S77" s="67"/>
      <c r="T77" s="73"/>
      <c r="U77" s="74"/>
      <c r="V77" s="64"/>
    </row>
    <row r="78" spans="1:22" ht="25.5">
      <c r="A78" s="85" t="s">
        <v>23</v>
      </c>
      <c r="B78" s="86"/>
      <c r="C78" s="85" t="s">
        <v>282</v>
      </c>
      <c r="D78" s="87">
        <v>36227</v>
      </c>
      <c r="E78" s="88" t="s">
        <v>278</v>
      </c>
      <c r="F78" s="89">
        <v>0.4479166666666667</v>
      </c>
      <c r="G78" s="89">
        <v>0.013888888888888888</v>
      </c>
      <c r="H78" s="90">
        <f>SUM(G78+F78)</f>
        <v>0.4618055555555556</v>
      </c>
      <c r="I78" s="89"/>
      <c r="J78" s="91">
        <v>8</v>
      </c>
      <c r="K78" s="273">
        <v>9</v>
      </c>
      <c r="L78" s="92">
        <v>18</v>
      </c>
      <c r="M78" s="92">
        <v>4</v>
      </c>
      <c r="N78" s="92">
        <v>3</v>
      </c>
      <c r="O78" s="93">
        <f>K78*1625088/N78/(1024*1024)</f>
        <v>4.6494140625</v>
      </c>
      <c r="P78" s="94">
        <f>O78*126.31/3600</f>
        <v>0.16312985839843752</v>
      </c>
      <c r="Q78" s="94">
        <f>O78*63/3600</f>
        <v>0.08136474609375</v>
      </c>
      <c r="R78" s="94">
        <f>O78*42.139/3600</f>
        <v>0.05442268310546875</v>
      </c>
      <c r="S78" s="88" t="s">
        <v>262</v>
      </c>
      <c r="T78" s="94" t="s">
        <v>211</v>
      </c>
      <c r="U78" s="95" t="s">
        <v>19</v>
      </c>
      <c r="V78" s="85" t="s">
        <v>107</v>
      </c>
    </row>
    <row r="79" spans="1:22" ht="21" customHeight="1">
      <c r="A79" s="77" t="s">
        <v>310</v>
      </c>
      <c r="B79" s="78"/>
      <c r="C79" s="79" t="s">
        <v>282</v>
      </c>
      <c r="D79" s="87">
        <v>36227</v>
      </c>
      <c r="E79" s="88" t="s">
        <v>278</v>
      </c>
      <c r="F79" s="80">
        <v>0.46875</v>
      </c>
      <c r="G79" s="80">
        <v>0.017361111111111112</v>
      </c>
      <c r="H79" s="80">
        <f>SUM(F79:G79)</f>
        <v>0.4861111111111111</v>
      </c>
      <c r="I79" s="78"/>
      <c r="J79" s="81">
        <v>12</v>
      </c>
      <c r="K79" s="265">
        <v>4</v>
      </c>
      <c r="L79" s="78">
        <v>29</v>
      </c>
      <c r="M79" s="78">
        <v>0</v>
      </c>
      <c r="N79" s="78">
        <v>2.5</v>
      </c>
      <c r="O79" s="82">
        <f>K79*1625088/N79/(1024*1024)</f>
        <v>2.4796875</v>
      </c>
      <c r="P79" s="94">
        <f>N79*63/3600</f>
        <v>0.04375</v>
      </c>
      <c r="Q79" s="83">
        <f>O79*63/3600</f>
        <v>0.04339453124999999</v>
      </c>
      <c r="R79" s="83">
        <f>O79*42.139/3600</f>
        <v>0.02902543098958333</v>
      </c>
      <c r="S79" s="88" t="s">
        <v>262</v>
      </c>
      <c r="T79" s="84" t="s">
        <v>37</v>
      </c>
      <c r="U79" s="109" t="s">
        <v>305</v>
      </c>
      <c r="V79" s="85" t="s">
        <v>107</v>
      </c>
    </row>
    <row r="80" spans="1:22" ht="25.5">
      <c r="A80" s="85" t="s">
        <v>24</v>
      </c>
      <c r="B80" s="86"/>
      <c r="C80" s="85" t="s">
        <v>282</v>
      </c>
      <c r="D80" s="87">
        <v>36227</v>
      </c>
      <c r="E80" s="88" t="s">
        <v>278</v>
      </c>
      <c r="F80" s="89">
        <v>0.7534722222222222</v>
      </c>
      <c r="G80" s="89">
        <v>0.017361111111111112</v>
      </c>
      <c r="H80" s="90">
        <f>SUM(G80+F80)</f>
        <v>0.7708333333333334</v>
      </c>
      <c r="I80" s="89"/>
      <c r="J80" s="91">
        <v>8</v>
      </c>
      <c r="K80" s="273">
        <v>12</v>
      </c>
      <c r="L80" s="92">
        <v>18</v>
      </c>
      <c r="M80" s="92">
        <v>4</v>
      </c>
      <c r="N80" s="92">
        <v>3</v>
      </c>
      <c r="O80" s="93">
        <f>K80*1625088/N80/(1024*1024)</f>
        <v>6.19921875</v>
      </c>
      <c r="P80" s="94">
        <f>O80*126.31/3600</f>
        <v>0.21750647786458333</v>
      </c>
      <c r="Q80" s="94">
        <f>O80*63/3600</f>
        <v>0.108486328125</v>
      </c>
      <c r="R80" s="94">
        <f>O80*42.139/3600</f>
        <v>0.07256357747395835</v>
      </c>
      <c r="S80" s="88" t="s">
        <v>262</v>
      </c>
      <c r="T80" s="94" t="s">
        <v>211</v>
      </c>
      <c r="U80" s="95" t="s">
        <v>20</v>
      </c>
      <c r="V80" s="85" t="s">
        <v>107</v>
      </c>
    </row>
    <row r="81" spans="1:22" ht="24.75" customHeight="1">
      <c r="A81" s="42" t="s">
        <v>356</v>
      </c>
      <c r="B81" s="41"/>
      <c r="C81" s="42" t="s">
        <v>222</v>
      </c>
      <c r="D81" s="43">
        <v>36593</v>
      </c>
      <c r="E81" s="44" t="s">
        <v>278</v>
      </c>
      <c r="F81" s="45">
        <v>0.7916666666666666</v>
      </c>
      <c r="G81" s="45">
        <v>0.23125</v>
      </c>
      <c r="H81" s="46">
        <f>SUM(F81:G81)</f>
        <v>1.0229166666666667</v>
      </c>
      <c r="I81" s="45"/>
      <c r="J81" s="47">
        <v>8</v>
      </c>
      <c r="K81" s="272">
        <v>288</v>
      </c>
      <c r="L81" s="48">
        <v>18</v>
      </c>
      <c r="M81" s="48">
        <v>4</v>
      </c>
      <c r="N81" s="48">
        <v>3</v>
      </c>
      <c r="O81" s="49">
        <f>K81*1625088/N81/(1024*1024)</f>
        <v>148.78125</v>
      </c>
      <c r="P81" s="50">
        <f>O81*126.31/3600</f>
        <v>5.220155468750001</v>
      </c>
      <c r="Q81" s="50">
        <f>O81*63/3600</f>
        <v>2.603671875</v>
      </c>
      <c r="R81" s="50">
        <f>O81*42.139/3600</f>
        <v>1.741525859375</v>
      </c>
      <c r="S81" s="44" t="s">
        <v>262</v>
      </c>
      <c r="T81" s="50" t="s">
        <v>211</v>
      </c>
      <c r="U81" s="51" t="s">
        <v>21</v>
      </c>
      <c r="V81" s="42" t="s">
        <v>107</v>
      </c>
    </row>
    <row r="82" spans="1:22" ht="25.5">
      <c r="A82" s="85" t="s">
        <v>25</v>
      </c>
      <c r="B82" s="86"/>
      <c r="C82" s="85" t="s">
        <v>282</v>
      </c>
      <c r="D82" s="87">
        <v>36228</v>
      </c>
      <c r="E82" s="88" t="s">
        <v>279</v>
      </c>
      <c r="F82" s="89">
        <v>0.03125</v>
      </c>
      <c r="G82" s="89">
        <v>0.013888888888888888</v>
      </c>
      <c r="H82" s="90">
        <f>SUM(G82+F82)</f>
        <v>0.04513888888888889</v>
      </c>
      <c r="I82" s="89"/>
      <c r="J82" s="91">
        <v>8</v>
      </c>
      <c r="K82" s="273">
        <v>9</v>
      </c>
      <c r="L82" s="92">
        <v>18</v>
      </c>
      <c r="M82" s="92">
        <v>4</v>
      </c>
      <c r="N82" s="92">
        <v>3</v>
      </c>
      <c r="O82" s="93">
        <f>K82*1625088/N82/(1024*1024)</f>
        <v>4.6494140625</v>
      </c>
      <c r="P82" s="94">
        <f>O82*126.31/3600</f>
        <v>0.16312985839843752</v>
      </c>
      <c r="Q82" s="94">
        <f>O82*63/3600</f>
        <v>0.08136474609375</v>
      </c>
      <c r="R82" s="94">
        <f>O82*42.139/3600</f>
        <v>0.05442268310546875</v>
      </c>
      <c r="S82" s="88" t="s">
        <v>262</v>
      </c>
      <c r="T82" s="94" t="s">
        <v>211</v>
      </c>
      <c r="U82" s="95" t="s">
        <v>19</v>
      </c>
      <c r="V82" s="85" t="s">
        <v>107</v>
      </c>
    </row>
    <row r="83" spans="1:22" ht="21" customHeight="1">
      <c r="A83" s="77" t="s">
        <v>207</v>
      </c>
      <c r="B83" s="78"/>
      <c r="C83" s="79" t="s">
        <v>282</v>
      </c>
      <c r="D83" s="87">
        <v>36228</v>
      </c>
      <c r="E83" s="88" t="s">
        <v>279</v>
      </c>
      <c r="F83" s="80">
        <v>0.052083333333333336</v>
      </c>
      <c r="G83" s="80">
        <v>0.017361111111111112</v>
      </c>
      <c r="H83" s="80">
        <f>SUM(F83:G83)</f>
        <v>0.06944444444444445</v>
      </c>
      <c r="I83" s="78"/>
      <c r="J83" s="81">
        <v>12</v>
      </c>
      <c r="K83" s="265">
        <v>4</v>
      </c>
      <c r="L83" s="78">
        <v>29</v>
      </c>
      <c r="M83" s="78">
        <v>0</v>
      </c>
      <c r="N83" s="78">
        <v>2.5</v>
      </c>
      <c r="O83" s="82">
        <f>K83*1625088/N83/(1024*1024)</f>
        <v>2.4796875</v>
      </c>
      <c r="P83" s="94">
        <f>N83*63/3600</f>
        <v>0.04375</v>
      </c>
      <c r="Q83" s="83">
        <f>O83*63/3600</f>
        <v>0.04339453124999999</v>
      </c>
      <c r="R83" s="83">
        <f>O83*42.139/3600</f>
        <v>0.02902543098958333</v>
      </c>
      <c r="S83" s="88" t="s">
        <v>262</v>
      </c>
      <c r="T83" s="84" t="s">
        <v>37</v>
      </c>
      <c r="U83" s="109" t="s">
        <v>305</v>
      </c>
      <c r="V83" s="85" t="s">
        <v>107</v>
      </c>
    </row>
    <row r="84" spans="1:22" ht="25.5">
      <c r="A84" s="85" t="s">
        <v>26</v>
      </c>
      <c r="B84" s="86"/>
      <c r="C84" s="85" t="s">
        <v>282</v>
      </c>
      <c r="D84" s="87">
        <v>36228</v>
      </c>
      <c r="E84" s="88" t="s">
        <v>279</v>
      </c>
      <c r="F84" s="89">
        <v>0.3333333333333333</v>
      </c>
      <c r="G84" s="89">
        <v>0.017361111111111112</v>
      </c>
      <c r="H84" s="90">
        <f>SUM(G84+F84)</f>
        <v>0.3506944444444444</v>
      </c>
      <c r="I84" s="89"/>
      <c r="J84" s="91">
        <v>8</v>
      </c>
      <c r="K84" s="273">
        <v>12</v>
      </c>
      <c r="L84" s="92">
        <v>18</v>
      </c>
      <c r="M84" s="92">
        <v>4</v>
      </c>
      <c r="N84" s="92">
        <v>3</v>
      </c>
      <c r="O84" s="93">
        <f>K84*1625088/N84/(1024*1024)</f>
        <v>6.19921875</v>
      </c>
      <c r="P84" s="94">
        <f>O84*126.31/3600</f>
        <v>0.21750647786458333</v>
      </c>
      <c r="Q84" s="94">
        <f>O84*63/3600</f>
        <v>0.108486328125</v>
      </c>
      <c r="R84" s="94">
        <f>O84*42.139/3600</f>
        <v>0.07256357747395835</v>
      </c>
      <c r="S84" s="88" t="s">
        <v>262</v>
      </c>
      <c r="T84" s="94" t="s">
        <v>211</v>
      </c>
      <c r="U84" s="95" t="s">
        <v>27</v>
      </c>
      <c r="V84" s="85" t="s">
        <v>107</v>
      </c>
    </row>
    <row r="85" spans="1:22" ht="12.75">
      <c r="A85" s="22" t="s">
        <v>357</v>
      </c>
      <c r="B85" s="11"/>
      <c r="C85" s="22" t="s">
        <v>222</v>
      </c>
      <c r="D85" s="23">
        <v>36228</v>
      </c>
      <c r="E85" s="24" t="s">
        <v>279</v>
      </c>
      <c r="F85" s="25">
        <v>0.3680555555555556</v>
      </c>
      <c r="G85" s="25">
        <v>0.013888888888888888</v>
      </c>
      <c r="H85" s="26">
        <f>SUM(F85:G85)</f>
        <v>0.3819444444444445</v>
      </c>
      <c r="I85" s="25"/>
      <c r="J85" s="27">
        <v>12</v>
      </c>
      <c r="K85" s="277">
        <v>16</v>
      </c>
      <c r="L85" s="28">
        <v>24</v>
      </c>
      <c r="M85" s="28" t="s">
        <v>361</v>
      </c>
      <c r="N85" s="28">
        <v>1.2</v>
      </c>
      <c r="O85" s="29">
        <f aca="true" t="shared" si="22" ref="O85:O92">K85*1625088/N85/(1024*1024)</f>
        <v>20.6640625</v>
      </c>
      <c r="P85" s="30">
        <f aca="true" t="shared" si="23" ref="P85:P92">O85*126.31/3600</f>
        <v>0.7250215928819445</v>
      </c>
      <c r="Q85" s="30">
        <f>O85*63/3600</f>
        <v>0.36162109375</v>
      </c>
      <c r="R85" s="30">
        <f>O85*42.139/3600</f>
        <v>0.24187859157986114</v>
      </c>
      <c r="S85" s="24" t="s">
        <v>262</v>
      </c>
      <c r="T85" s="30" t="s">
        <v>211</v>
      </c>
      <c r="U85" s="31" t="s">
        <v>31</v>
      </c>
      <c r="V85" s="22" t="s">
        <v>107</v>
      </c>
    </row>
    <row r="86" spans="1:22" ht="12.75">
      <c r="A86" s="22"/>
      <c r="B86" s="11"/>
      <c r="C86" s="22"/>
      <c r="D86" s="23"/>
      <c r="E86" s="24"/>
      <c r="F86" s="25"/>
      <c r="G86" s="25"/>
      <c r="H86" s="26"/>
      <c r="I86" s="25"/>
      <c r="J86" s="27">
        <v>12</v>
      </c>
      <c r="K86" s="277">
        <v>20</v>
      </c>
      <c r="L86" s="28">
        <v>15</v>
      </c>
      <c r="M86" s="28" t="s">
        <v>362</v>
      </c>
      <c r="N86" s="28">
        <v>1.2</v>
      </c>
      <c r="O86" s="29">
        <f>K86*1625088/N86/(1024*1024)</f>
        <v>25.830078125</v>
      </c>
      <c r="P86" s="30">
        <f t="shared" si="23"/>
        <v>0.9062769911024305</v>
      </c>
      <c r="Q86" s="30">
        <f aca="true" t="shared" si="24" ref="Q86:Q91">O86*63/3600</f>
        <v>0.4520263671875</v>
      </c>
      <c r="R86" s="30">
        <f aca="true" t="shared" si="25" ref="R86:R91">O86*42.139/3600</f>
        <v>0.3023482394748264</v>
      </c>
      <c r="S86" s="24" t="s">
        <v>262</v>
      </c>
      <c r="T86" s="30" t="s">
        <v>211</v>
      </c>
      <c r="U86" s="31" t="s">
        <v>212</v>
      </c>
      <c r="V86" s="22" t="s">
        <v>107</v>
      </c>
    </row>
    <row r="87" spans="1:22" ht="12.75">
      <c r="A87" s="22" t="s">
        <v>358</v>
      </c>
      <c r="B87" s="11"/>
      <c r="C87" s="22" t="s">
        <v>222</v>
      </c>
      <c r="D87" s="23">
        <v>36228</v>
      </c>
      <c r="E87" s="24" t="s">
        <v>279</v>
      </c>
      <c r="F87" s="25">
        <v>0.3854166666666667</v>
      </c>
      <c r="G87" s="25">
        <v>0.013888888888888888</v>
      </c>
      <c r="H87" s="26">
        <f>SUM(F87:G87)</f>
        <v>0.3993055555555556</v>
      </c>
      <c r="I87" s="25"/>
      <c r="J87" s="27">
        <v>12</v>
      </c>
      <c r="K87" s="277">
        <v>28</v>
      </c>
      <c r="L87" s="28">
        <v>22</v>
      </c>
      <c r="M87" s="234" t="s">
        <v>103</v>
      </c>
      <c r="N87" s="28">
        <v>1.2</v>
      </c>
      <c r="O87" s="29">
        <f t="shared" si="22"/>
        <v>36.162109375</v>
      </c>
      <c r="P87" s="30">
        <f t="shared" si="23"/>
        <v>1.2687877875434028</v>
      </c>
      <c r="Q87" s="30">
        <f t="shared" si="24"/>
        <v>0.6328369140625</v>
      </c>
      <c r="R87" s="30">
        <f t="shared" si="25"/>
        <v>0.423287535264757</v>
      </c>
      <c r="S87" s="24" t="s">
        <v>262</v>
      </c>
      <c r="T87" s="30" t="s">
        <v>211</v>
      </c>
      <c r="U87" s="31" t="s">
        <v>31</v>
      </c>
      <c r="V87" s="22" t="s">
        <v>107</v>
      </c>
    </row>
    <row r="88" spans="1:22" ht="12.75">
      <c r="A88" s="22"/>
      <c r="B88" s="11"/>
      <c r="C88" s="22"/>
      <c r="D88" s="23"/>
      <c r="E88" s="24"/>
      <c r="F88" s="25"/>
      <c r="G88" s="25"/>
      <c r="H88" s="26"/>
      <c r="I88" s="25"/>
      <c r="J88" s="27">
        <v>12</v>
      </c>
      <c r="K88" s="277">
        <v>32</v>
      </c>
      <c r="L88" s="28">
        <v>21</v>
      </c>
      <c r="M88" s="235" t="s">
        <v>16</v>
      </c>
      <c r="N88" s="28">
        <v>1.2</v>
      </c>
      <c r="O88" s="29">
        <f t="shared" si="22"/>
        <v>41.328125</v>
      </c>
      <c r="P88" s="30">
        <f t="shared" si="23"/>
        <v>1.450043185763889</v>
      </c>
      <c r="Q88" s="30">
        <f>O88*63/3600</f>
        <v>0.7232421875</v>
      </c>
      <c r="R88" s="30">
        <f>O88*42.139/3600</f>
        <v>0.48375718315972227</v>
      </c>
      <c r="S88" s="24" t="s">
        <v>262</v>
      </c>
      <c r="T88" s="30" t="s">
        <v>211</v>
      </c>
      <c r="U88" s="31" t="s">
        <v>212</v>
      </c>
      <c r="V88" s="22" t="s">
        <v>107</v>
      </c>
    </row>
    <row r="89" spans="1:22" ht="12.75">
      <c r="A89" s="22" t="s">
        <v>359</v>
      </c>
      <c r="B89" s="11"/>
      <c r="C89" s="22" t="s">
        <v>222</v>
      </c>
      <c r="D89" s="23">
        <v>36228</v>
      </c>
      <c r="E89" s="24" t="s">
        <v>279</v>
      </c>
      <c r="F89" s="25">
        <v>0.4826388888888889</v>
      </c>
      <c r="G89" s="25">
        <v>0.013888888888888888</v>
      </c>
      <c r="H89" s="26">
        <f>SUM(F89:G89)</f>
        <v>0.4965277777777778</v>
      </c>
      <c r="I89" s="25"/>
      <c r="J89" s="27">
        <v>12</v>
      </c>
      <c r="K89" s="277">
        <v>28</v>
      </c>
      <c r="L89" s="28">
        <v>22</v>
      </c>
      <c r="M89" s="234" t="s">
        <v>103</v>
      </c>
      <c r="N89" s="28">
        <v>1.2</v>
      </c>
      <c r="O89" s="29">
        <f t="shared" si="22"/>
        <v>36.162109375</v>
      </c>
      <c r="P89" s="30">
        <f t="shared" si="23"/>
        <v>1.2687877875434028</v>
      </c>
      <c r="Q89" s="30">
        <f t="shared" si="24"/>
        <v>0.6328369140625</v>
      </c>
      <c r="R89" s="30">
        <f t="shared" si="25"/>
        <v>0.423287535264757</v>
      </c>
      <c r="S89" s="24" t="s">
        <v>262</v>
      </c>
      <c r="T89" s="30" t="s">
        <v>211</v>
      </c>
      <c r="U89" s="31" t="s">
        <v>32</v>
      </c>
      <c r="V89" s="22" t="s">
        <v>107</v>
      </c>
    </row>
    <row r="90" spans="1:22" ht="12.75">
      <c r="A90" s="22"/>
      <c r="B90" s="11"/>
      <c r="C90" s="22"/>
      <c r="D90" s="23"/>
      <c r="E90" s="24"/>
      <c r="F90" s="25"/>
      <c r="G90" s="25"/>
      <c r="H90" s="26"/>
      <c r="I90" s="25"/>
      <c r="J90" s="27">
        <v>12</v>
      </c>
      <c r="K90" s="277">
        <v>32</v>
      </c>
      <c r="L90" s="28">
        <v>21</v>
      </c>
      <c r="M90" s="235" t="s">
        <v>16</v>
      </c>
      <c r="N90" s="28">
        <v>1.2</v>
      </c>
      <c r="O90" s="29">
        <f t="shared" si="22"/>
        <v>41.328125</v>
      </c>
      <c r="P90" s="30">
        <f t="shared" si="23"/>
        <v>1.450043185763889</v>
      </c>
      <c r="Q90" s="30">
        <f>O90*63/3600</f>
        <v>0.7232421875</v>
      </c>
      <c r="R90" s="30">
        <f>O90*42.139/3600</f>
        <v>0.48375718315972227</v>
      </c>
      <c r="S90" s="24" t="s">
        <v>262</v>
      </c>
      <c r="T90" s="30" t="s">
        <v>211</v>
      </c>
      <c r="U90" s="31" t="s">
        <v>212</v>
      </c>
      <c r="V90" s="22" t="s">
        <v>107</v>
      </c>
    </row>
    <row r="91" spans="1:22" ht="12.75">
      <c r="A91" s="22" t="s">
        <v>360</v>
      </c>
      <c r="B91" s="11"/>
      <c r="C91" s="22" t="s">
        <v>222</v>
      </c>
      <c r="D91" s="23">
        <v>36228</v>
      </c>
      <c r="E91" s="24" t="s">
        <v>279</v>
      </c>
      <c r="F91" s="25">
        <v>0.49652777777777773</v>
      </c>
      <c r="G91" s="25">
        <v>0.013888888888888888</v>
      </c>
      <c r="H91" s="26">
        <f>SUM(F91:G91)</f>
        <v>0.5104166666666666</v>
      </c>
      <c r="I91" s="25"/>
      <c r="J91" s="27">
        <v>12</v>
      </c>
      <c r="K91" s="277">
        <v>28</v>
      </c>
      <c r="L91" s="28">
        <v>22</v>
      </c>
      <c r="M91" s="234" t="s">
        <v>103</v>
      </c>
      <c r="N91" s="28">
        <v>1.2</v>
      </c>
      <c r="O91" s="29">
        <f t="shared" si="22"/>
        <v>36.162109375</v>
      </c>
      <c r="P91" s="30">
        <f t="shared" si="23"/>
        <v>1.2687877875434028</v>
      </c>
      <c r="Q91" s="30">
        <f t="shared" si="24"/>
        <v>0.6328369140625</v>
      </c>
      <c r="R91" s="30">
        <f t="shared" si="25"/>
        <v>0.423287535264757</v>
      </c>
      <c r="S91" s="24" t="s">
        <v>262</v>
      </c>
      <c r="T91" s="30" t="s">
        <v>211</v>
      </c>
      <c r="U91" s="31" t="s">
        <v>32</v>
      </c>
      <c r="V91" s="22" t="s">
        <v>107</v>
      </c>
    </row>
    <row r="92" spans="1:22" ht="12.75">
      <c r="A92" s="22"/>
      <c r="B92" s="11"/>
      <c r="C92" s="22"/>
      <c r="D92" s="23"/>
      <c r="E92" s="24"/>
      <c r="F92" s="25"/>
      <c r="G92" s="25"/>
      <c r="H92" s="26"/>
      <c r="I92" s="25"/>
      <c r="J92" s="27">
        <v>12</v>
      </c>
      <c r="K92" s="277">
        <v>32</v>
      </c>
      <c r="L92" s="28">
        <v>21</v>
      </c>
      <c r="M92" s="235" t="s">
        <v>16</v>
      </c>
      <c r="N92" s="28">
        <v>1.2</v>
      </c>
      <c r="O92" s="29">
        <f t="shared" si="22"/>
        <v>41.328125</v>
      </c>
      <c r="P92" s="30">
        <f t="shared" si="23"/>
        <v>1.450043185763889</v>
      </c>
      <c r="Q92" s="30">
        <f>O92*63/3600</f>
        <v>0.7232421875</v>
      </c>
      <c r="R92" s="30">
        <f>O92*42.139/3600</f>
        <v>0.48375718315972227</v>
      </c>
      <c r="S92" s="24" t="s">
        <v>262</v>
      </c>
      <c r="T92" s="30" t="s">
        <v>211</v>
      </c>
      <c r="U92" s="31" t="s">
        <v>212</v>
      </c>
      <c r="V92" s="22" t="s">
        <v>107</v>
      </c>
    </row>
    <row r="93" spans="1:22" ht="25.5">
      <c r="A93" s="85" t="s">
        <v>28</v>
      </c>
      <c r="B93" s="86"/>
      <c r="C93" s="85" t="s">
        <v>282</v>
      </c>
      <c r="D93" s="87">
        <v>36228</v>
      </c>
      <c r="E93" s="88" t="s">
        <v>279</v>
      </c>
      <c r="F93" s="89">
        <v>0.59375</v>
      </c>
      <c r="G93" s="89">
        <v>0.017361111111111112</v>
      </c>
      <c r="H93" s="90">
        <f>SUM(G93+F93)</f>
        <v>0.6111111111111112</v>
      </c>
      <c r="I93" s="89"/>
      <c r="J93" s="91">
        <v>8</v>
      </c>
      <c r="K93" s="273">
        <v>12</v>
      </c>
      <c r="L93" s="92">
        <v>18</v>
      </c>
      <c r="M93" s="92">
        <v>4</v>
      </c>
      <c r="N93" s="92">
        <v>3</v>
      </c>
      <c r="O93" s="93">
        <f>K93*1625088/N93/(1024*1024)</f>
        <v>6.19921875</v>
      </c>
      <c r="P93" s="94">
        <f>O93*126.31/3600</f>
        <v>0.21750647786458333</v>
      </c>
      <c r="Q93" s="94">
        <f>O93*63/3600</f>
        <v>0.108486328125</v>
      </c>
      <c r="R93" s="94">
        <f>O93*42.139/3600</f>
        <v>0.07256357747395835</v>
      </c>
      <c r="S93" s="88" t="s">
        <v>262</v>
      </c>
      <c r="T93" s="94" t="s">
        <v>211</v>
      </c>
      <c r="U93" s="95" t="s">
        <v>20</v>
      </c>
      <c r="V93" s="85" t="s">
        <v>107</v>
      </c>
    </row>
    <row r="94" spans="1:22" ht="12.75">
      <c r="A94" s="191" t="s">
        <v>35</v>
      </c>
      <c r="B94" s="52">
        <v>43</v>
      </c>
      <c r="C94" s="53"/>
      <c r="D94" s="54">
        <v>36228</v>
      </c>
      <c r="E94" s="55" t="s">
        <v>279</v>
      </c>
      <c r="F94" s="56">
        <v>0.6284722222222222</v>
      </c>
      <c r="G94" s="56">
        <v>0.34375</v>
      </c>
      <c r="H94" s="57">
        <f>SUM(F94:G94)</f>
        <v>0.9722222222222222</v>
      </c>
      <c r="I94" s="58"/>
      <c r="J94" s="59"/>
      <c r="K94" s="275"/>
      <c r="L94" s="58"/>
      <c r="M94" s="58"/>
      <c r="N94" s="58"/>
      <c r="O94" s="60">
        <f>SUM(O78:O93)</f>
        <v>460.601953125</v>
      </c>
      <c r="P94" s="60">
        <f>SUM(P78:P93)</f>
        <v>16.074226123046873</v>
      </c>
      <c r="Q94" s="60">
        <f>SUM(Q78:Q93)</f>
        <v>8.060534179687501</v>
      </c>
      <c r="R94" s="60">
        <f>SUM(R78:R93)</f>
        <v>5.391473806315106</v>
      </c>
      <c r="S94" s="55"/>
      <c r="T94" s="60"/>
      <c r="U94" s="61"/>
      <c r="V94" s="53"/>
    </row>
    <row r="95" spans="1:22" ht="25.5">
      <c r="A95" s="85" t="s">
        <v>29</v>
      </c>
      <c r="B95" s="86"/>
      <c r="C95" s="85" t="s">
        <v>282</v>
      </c>
      <c r="D95" s="87">
        <v>36228</v>
      </c>
      <c r="E95" s="88" t="s">
        <v>279</v>
      </c>
      <c r="F95" s="89">
        <v>0.9715277777777778</v>
      </c>
      <c r="G95" s="89">
        <v>0.020833333333333332</v>
      </c>
      <c r="H95" s="90">
        <f>SUM(G95+F95)</f>
        <v>0.9923611111111111</v>
      </c>
      <c r="I95" s="89"/>
      <c r="J95" s="91">
        <v>8</v>
      </c>
      <c r="K95" s="273">
        <v>15</v>
      </c>
      <c r="L95" s="92">
        <v>18</v>
      </c>
      <c r="M95" s="92">
        <v>4</v>
      </c>
      <c r="N95" s="92">
        <v>3</v>
      </c>
      <c r="O95" s="93">
        <f>K95*1625088/N95/(1024*1024)</f>
        <v>7.7490234375</v>
      </c>
      <c r="P95" s="94">
        <f>O95*126.31/3600</f>
        <v>0.2718830973307292</v>
      </c>
      <c r="Q95" s="94">
        <f>O95*63/3600</f>
        <v>0.13560791015625</v>
      </c>
      <c r="R95" s="94">
        <f>O95*42.139/3600</f>
        <v>0.09070447184244793</v>
      </c>
      <c r="S95" s="88" t="s">
        <v>262</v>
      </c>
      <c r="T95" s="94" t="s">
        <v>211</v>
      </c>
      <c r="U95" s="95" t="s">
        <v>30</v>
      </c>
      <c r="V95" s="85" t="s">
        <v>107</v>
      </c>
    </row>
    <row r="96" spans="1:22" ht="25.5">
      <c r="A96" s="22" t="s">
        <v>213</v>
      </c>
      <c r="B96" s="11"/>
      <c r="C96" s="22" t="s">
        <v>222</v>
      </c>
      <c r="D96" s="23">
        <v>36228</v>
      </c>
      <c r="E96" s="24" t="s">
        <v>279</v>
      </c>
      <c r="F96" s="25">
        <v>0.9923611111111111</v>
      </c>
      <c r="G96" s="25">
        <v>0.19652777777777777</v>
      </c>
      <c r="H96" s="26">
        <f>SUM(F96:G96)</f>
        <v>1.1888888888888889</v>
      </c>
      <c r="I96" s="25"/>
      <c r="J96" s="27">
        <v>12</v>
      </c>
      <c r="K96" s="277">
        <v>112</v>
      </c>
      <c r="L96" s="28">
        <v>22</v>
      </c>
      <c r="M96" s="234" t="s">
        <v>103</v>
      </c>
      <c r="N96" s="28">
        <v>1.3</v>
      </c>
      <c r="O96" s="29">
        <f>K96*1625088/N96/(1024*1024)</f>
        <v>133.5216346153846</v>
      </c>
      <c r="P96" s="30">
        <f>O96*126.31/3600</f>
        <v>4.6847549078525645</v>
      </c>
      <c r="Q96" s="30">
        <f>N96*63/3600</f>
        <v>0.022750000000000003</v>
      </c>
      <c r="R96" s="30">
        <f>O96*42.139/3600</f>
        <v>1.5629078225160258</v>
      </c>
      <c r="S96" s="24" t="s">
        <v>262</v>
      </c>
      <c r="T96" s="30" t="s">
        <v>211</v>
      </c>
      <c r="U96" s="31" t="s">
        <v>127</v>
      </c>
      <c r="V96" s="22" t="s">
        <v>107</v>
      </c>
    </row>
    <row r="97" spans="1:22" ht="12.75">
      <c r="A97" s="22"/>
      <c r="B97" s="11"/>
      <c r="C97" s="22"/>
      <c r="D97" s="23"/>
      <c r="E97" s="24"/>
      <c r="F97" s="25"/>
      <c r="G97" s="25"/>
      <c r="H97" s="26"/>
      <c r="I97" s="25"/>
      <c r="J97" s="27">
        <v>8</v>
      </c>
      <c r="K97" s="277">
        <v>128</v>
      </c>
      <c r="L97" s="28">
        <v>21</v>
      </c>
      <c r="M97" s="235" t="s">
        <v>16</v>
      </c>
      <c r="N97" s="28">
        <v>1.3</v>
      </c>
      <c r="O97" s="29">
        <f>K97*1625088/N97/(1024*1024)</f>
        <v>152.59615384615384</v>
      </c>
      <c r="P97" s="30">
        <f>O97*126.31/3600</f>
        <v>5.354005608974359</v>
      </c>
      <c r="Q97" s="30">
        <f>O97*63/3600</f>
        <v>2.670432692307692</v>
      </c>
      <c r="R97" s="30">
        <f>O97*42.139/3600</f>
        <v>1.7861803685897437</v>
      </c>
      <c r="S97" s="24" t="s">
        <v>262</v>
      </c>
      <c r="T97" s="30" t="s">
        <v>211</v>
      </c>
      <c r="U97" s="31" t="s">
        <v>212</v>
      </c>
      <c r="V97" s="22" t="s">
        <v>107</v>
      </c>
    </row>
    <row r="98" spans="1:22" ht="25.5">
      <c r="A98" s="97" t="s">
        <v>214</v>
      </c>
      <c r="B98" s="98"/>
      <c r="C98" s="97" t="s">
        <v>222</v>
      </c>
      <c r="D98" s="99">
        <v>36228</v>
      </c>
      <c r="E98" s="100" t="s">
        <v>279</v>
      </c>
      <c r="F98" s="101">
        <v>0.9923611111111111</v>
      </c>
      <c r="G98" s="101">
        <v>0.18958333333333333</v>
      </c>
      <c r="H98" s="102">
        <f>SUM(F98:G98)</f>
        <v>1.1819444444444445</v>
      </c>
      <c r="I98" s="101"/>
      <c r="J98" s="103"/>
      <c r="K98" s="278">
        <v>936</v>
      </c>
      <c r="L98" s="104">
        <v>3</v>
      </c>
      <c r="M98" s="104"/>
      <c r="N98" s="104"/>
      <c r="O98" s="107">
        <f>K98*2864/2.5/1000000</f>
        <v>1.0722816000000002</v>
      </c>
      <c r="P98" s="108">
        <f>O98*126.31/3600</f>
        <v>0.03762219136</v>
      </c>
      <c r="Q98" s="108">
        <f>O98*1000/17.6/3600</f>
        <v>0.016923636363636366</v>
      </c>
      <c r="R98" s="108">
        <f>O98*42.139/3600</f>
        <v>0.012551353984000002</v>
      </c>
      <c r="S98" s="100" t="s">
        <v>262</v>
      </c>
      <c r="T98" s="105" t="s">
        <v>211</v>
      </c>
      <c r="U98" s="106" t="s">
        <v>392</v>
      </c>
      <c r="V98" s="97" t="s">
        <v>107</v>
      </c>
    </row>
    <row r="99" spans="1:22" ht="12.75">
      <c r="A99" s="191" t="s">
        <v>35</v>
      </c>
      <c r="B99" s="52">
        <v>63</v>
      </c>
      <c r="C99" s="53"/>
      <c r="D99" s="54">
        <v>36229</v>
      </c>
      <c r="E99" s="55" t="s">
        <v>206</v>
      </c>
      <c r="F99" s="56">
        <v>0.1909722222222222</v>
      </c>
      <c r="G99" s="56">
        <v>0.24861111111111112</v>
      </c>
      <c r="H99" s="57">
        <f>SUM(F99:G99)</f>
        <v>0.4395833333333333</v>
      </c>
      <c r="I99" s="58"/>
      <c r="J99" s="59"/>
      <c r="K99" s="275"/>
      <c r="L99" s="58"/>
      <c r="M99" s="58"/>
      <c r="N99" s="58"/>
      <c r="O99" s="60">
        <f>SUM(O95:O98)</f>
        <v>294.93909349903845</v>
      </c>
      <c r="P99" s="60">
        <f>SUM(P95:P98)</f>
        <v>10.348265805517652</v>
      </c>
      <c r="Q99" s="60">
        <f>SUM(Q95:Q98)</f>
        <v>2.8457142388275782</v>
      </c>
      <c r="R99" s="60">
        <f>SUM(R95:R98)</f>
        <v>3.4523440169322175</v>
      </c>
      <c r="S99" s="55"/>
      <c r="T99" s="60"/>
      <c r="U99" s="61"/>
      <c r="V99" s="53"/>
    </row>
    <row r="100" spans="1:22" ht="25.5">
      <c r="A100" s="85" t="s">
        <v>363</v>
      </c>
      <c r="B100" s="86"/>
      <c r="C100" s="85" t="s">
        <v>282</v>
      </c>
      <c r="D100" s="87">
        <v>36229</v>
      </c>
      <c r="E100" s="88" t="s">
        <v>206</v>
      </c>
      <c r="F100" s="89">
        <v>0.44097222222222227</v>
      </c>
      <c r="G100" s="89">
        <v>0.020833333333333332</v>
      </c>
      <c r="H100" s="90">
        <f>SUM(G100+F100)</f>
        <v>0.4618055555555556</v>
      </c>
      <c r="I100" s="89"/>
      <c r="J100" s="91">
        <v>8</v>
      </c>
      <c r="K100" s="273">
        <v>15</v>
      </c>
      <c r="L100" s="92">
        <v>18</v>
      </c>
      <c r="M100" s="92">
        <v>4</v>
      </c>
      <c r="N100" s="92">
        <v>3</v>
      </c>
      <c r="O100" s="93">
        <f>K100*1625088/N100/(1024*1024)</f>
        <v>7.7490234375</v>
      </c>
      <c r="P100" s="94">
        <f>O100*126.31/3600</f>
        <v>0.2718830973307292</v>
      </c>
      <c r="Q100" s="94">
        <f>O100*63/3600</f>
        <v>0.13560791015625</v>
      </c>
      <c r="R100" s="94">
        <f>O100*42.139/3600</f>
        <v>0.09070447184244793</v>
      </c>
      <c r="S100" s="88" t="s">
        <v>262</v>
      </c>
      <c r="T100" s="94" t="s">
        <v>211</v>
      </c>
      <c r="U100" s="95" t="s">
        <v>30</v>
      </c>
      <c r="V100" s="85" t="s">
        <v>107</v>
      </c>
    </row>
    <row r="101" spans="1:22" ht="15.75" customHeight="1">
      <c r="A101" s="217" t="s">
        <v>247</v>
      </c>
      <c r="B101" s="218"/>
      <c r="C101" s="204" t="s">
        <v>247</v>
      </c>
      <c r="D101" s="201">
        <v>36595</v>
      </c>
      <c r="E101" s="202" t="s">
        <v>206</v>
      </c>
      <c r="F101" s="219">
        <v>0.4583333333333333</v>
      </c>
      <c r="G101" s="219">
        <v>0.2916666666666667</v>
      </c>
      <c r="H101" s="220">
        <v>0.7083333333333334</v>
      </c>
      <c r="I101" s="219"/>
      <c r="J101" s="221"/>
      <c r="K101" s="218"/>
      <c r="L101" s="217"/>
      <c r="M101" s="217"/>
      <c r="N101" s="217"/>
      <c r="O101" s="222"/>
      <c r="P101" s="203"/>
      <c r="Q101" s="203"/>
      <c r="R101" s="203"/>
      <c r="S101" s="202"/>
      <c r="T101" s="203"/>
      <c r="U101" s="204"/>
      <c r="V101" s="204"/>
    </row>
    <row r="102" spans="1:22" ht="25.5">
      <c r="A102" s="85" t="s">
        <v>33</v>
      </c>
      <c r="B102" s="86"/>
      <c r="C102" s="85" t="s">
        <v>282</v>
      </c>
      <c r="D102" s="87">
        <v>36229</v>
      </c>
      <c r="E102" s="88" t="s">
        <v>206</v>
      </c>
      <c r="F102" s="89">
        <v>0.7083333333333334</v>
      </c>
      <c r="G102" s="89">
        <v>0.013888888888888888</v>
      </c>
      <c r="H102" s="90">
        <f>SUM(G102+F102)</f>
        <v>0.7222222222222222</v>
      </c>
      <c r="I102" s="89"/>
      <c r="J102" s="91">
        <v>8</v>
      </c>
      <c r="K102" s="273">
        <v>9</v>
      </c>
      <c r="L102" s="92">
        <v>18</v>
      </c>
      <c r="M102" s="92">
        <v>4</v>
      </c>
      <c r="N102" s="92">
        <v>3</v>
      </c>
      <c r="O102" s="93">
        <f>K102*1625088/N102/(1024*1024)</f>
        <v>4.6494140625</v>
      </c>
      <c r="P102" s="94">
        <f>O102*126.31/3600</f>
        <v>0.16312985839843752</v>
      </c>
      <c r="Q102" s="94">
        <f>O102*63/3600</f>
        <v>0.08136474609375</v>
      </c>
      <c r="R102" s="94">
        <f>O102*42.139/3600</f>
        <v>0.05442268310546875</v>
      </c>
      <c r="S102" s="88" t="s">
        <v>262</v>
      </c>
      <c r="T102" s="94" t="s">
        <v>211</v>
      </c>
      <c r="U102" s="95" t="s">
        <v>19</v>
      </c>
      <c r="V102" s="85" t="s">
        <v>107</v>
      </c>
    </row>
    <row r="103" spans="1:22" ht="21" customHeight="1">
      <c r="A103" s="77" t="s">
        <v>67</v>
      </c>
      <c r="B103" s="78"/>
      <c r="C103" s="79" t="s">
        <v>282</v>
      </c>
      <c r="D103" s="87">
        <v>36229</v>
      </c>
      <c r="E103" s="88" t="s">
        <v>206</v>
      </c>
      <c r="F103" s="80">
        <v>0.7291666666666666</v>
      </c>
      <c r="G103" s="80">
        <v>0.017361111111111112</v>
      </c>
      <c r="H103" s="80">
        <f>SUM(F103:G103)</f>
        <v>0.7465277777777778</v>
      </c>
      <c r="I103" s="78"/>
      <c r="J103" s="81">
        <v>12</v>
      </c>
      <c r="K103" s="265">
        <v>4</v>
      </c>
      <c r="L103" s="78">
        <v>29</v>
      </c>
      <c r="M103" s="78">
        <v>0</v>
      </c>
      <c r="N103" s="78">
        <v>2.5</v>
      </c>
      <c r="O103" s="82">
        <f>K103*1625088/N103/(1024*1024)</f>
        <v>2.4796875</v>
      </c>
      <c r="P103" s="94">
        <f>N103*63/3600</f>
        <v>0.04375</v>
      </c>
      <c r="Q103" s="83">
        <f>O103*63/3600</f>
        <v>0.04339453124999999</v>
      </c>
      <c r="R103" s="83">
        <f>O103*42.139/3600</f>
        <v>0.02902543098958333</v>
      </c>
      <c r="S103" s="88" t="s">
        <v>262</v>
      </c>
      <c r="T103" s="84" t="s">
        <v>37</v>
      </c>
      <c r="U103" s="109" t="s">
        <v>305</v>
      </c>
      <c r="V103" s="85" t="s">
        <v>107</v>
      </c>
    </row>
    <row r="104" spans="1:22" ht="24" customHeight="1">
      <c r="A104" s="42" t="s">
        <v>235</v>
      </c>
      <c r="B104" s="41"/>
      <c r="C104" s="42" t="s">
        <v>222</v>
      </c>
      <c r="D104" s="43">
        <v>36229</v>
      </c>
      <c r="E104" s="44" t="s">
        <v>206</v>
      </c>
      <c r="F104" s="45">
        <v>0.75</v>
      </c>
      <c r="G104" s="45">
        <v>0.23611111111111113</v>
      </c>
      <c r="H104" s="46">
        <f>SUM(F104:G104)</f>
        <v>0.9861111111111112</v>
      </c>
      <c r="I104" s="45"/>
      <c r="J104" s="47">
        <v>8</v>
      </c>
      <c r="K104" s="272">
        <v>288</v>
      </c>
      <c r="L104" s="48">
        <v>18</v>
      </c>
      <c r="M104" s="48">
        <v>4</v>
      </c>
      <c r="N104" s="48">
        <v>2.5</v>
      </c>
      <c r="O104" s="49">
        <f>K104*1625088/N104/(1024*1024)</f>
        <v>178.5375</v>
      </c>
      <c r="P104" s="50">
        <f>O104*126.31/3600</f>
        <v>6.2641865625</v>
      </c>
      <c r="Q104" s="50">
        <f>O104*63/3600</f>
        <v>3.12440625</v>
      </c>
      <c r="R104" s="50">
        <f>O104*42.139/3600</f>
        <v>2.08983103125</v>
      </c>
      <c r="S104" s="44" t="s">
        <v>262</v>
      </c>
      <c r="T104" s="50" t="s">
        <v>211</v>
      </c>
      <c r="U104" s="51" t="s">
        <v>251</v>
      </c>
      <c r="V104" s="42" t="s">
        <v>107</v>
      </c>
    </row>
    <row r="105" spans="1:22" ht="38.25">
      <c r="A105" s="97" t="s">
        <v>253</v>
      </c>
      <c r="B105" s="98"/>
      <c r="C105" s="97" t="s">
        <v>222</v>
      </c>
      <c r="D105" s="99">
        <v>36229</v>
      </c>
      <c r="E105" s="100" t="s">
        <v>206</v>
      </c>
      <c r="F105" s="101">
        <v>0.75</v>
      </c>
      <c r="G105" s="101">
        <v>0.23125</v>
      </c>
      <c r="H105" s="102">
        <f>SUM(F105:G105)</f>
        <v>0.98125</v>
      </c>
      <c r="I105" s="101"/>
      <c r="J105" s="103"/>
      <c r="K105" s="278">
        <v>2080</v>
      </c>
      <c r="L105" s="104">
        <v>4</v>
      </c>
      <c r="M105" s="104"/>
      <c r="N105" s="104"/>
      <c r="O105" s="107">
        <f>K105*2864/2.5/1000000</f>
        <v>2.382848</v>
      </c>
      <c r="P105" s="108">
        <f>O105*126.31/3600</f>
        <v>0.08360486968888889</v>
      </c>
      <c r="Q105" s="108">
        <f>O105*1000/17.6/3600</f>
        <v>0.037608080808080806</v>
      </c>
      <c r="R105" s="108">
        <f>O105*42.139/3600</f>
        <v>0.027891897742222227</v>
      </c>
      <c r="S105" s="100" t="s">
        <v>262</v>
      </c>
      <c r="T105" s="105" t="s">
        <v>211</v>
      </c>
      <c r="U105" s="106" t="s">
        <v>391</v>
      </c>
      <c r="V105" s="97" t="s">
        <v>107</v>
      </c>
    </row>
    <row r="106" spans="1:22" ht="25.5">
      <c r="A106" s="85" t="s">
        <v>393</v>
      </c>
      <c r="B106" s="86"/>
      <c r="C106" s="85" t="s">
        <v>282</v>
      </c>
      <c r="D106" s="87">
        <v>36229</v>
      </c>
      <c r="E106" s="88" t="s">
        <v>206</v>
      </c>
      <c r="F106" s="89">
        <v>0.9861111111111112</v>
      </c>
      <c r="G106" s="89">
        <v>0.020833333333333332</v>
      </c>
      <c r="H106" s="90">
        <f>SUM(G106+F106)</f>
        <v>1.0069444444444444</v>
      </c>
      <c r="I106" s="89"/>
      <c r="J106" s="91">
        <v>8</v>
      </c>
      <c r="K106" s="273">
        <v>15</v>
      </c>
      <c r="L106" s="92">
        <v>18</v>
      </c>
      <c r="M106" s="92">
        <v>4</v>
      </c>
      <c r="N106" s="92">
        <v>3</v>
      </c>
      <c r="O106" s="93">
        <f>K106*1625088/N106/(1024*1024)</f>
        <v>7.7490234375</v>
      </c>
      <c r="P106" s="94">
        <f>O106*126.31/3600</f>
        <v>0.2718830973307292</v>
      </c>
      <c r="Q106" s="94">
        <f>O106*63/3600</f>
        <v>0.13560791015625</v>
      </c>
      <c r="R106" s="94">
        <f>O106*42.139/3600</f>
        <v>0.09070447184244793</v>
      </c>
      <c r="S106" s="88" t="s">
        <v>262</v>
      </c>
      <c r="T106" s="94" t="s">
        <v>211</v>
      </c>
      <c r="U106" s="95" t="s">
        <v>30</v>
      </c>
      <c r="V106" s="85" t="s">
        <v>107</v>
      </c>
    </row>
    <row r="107" spans="1:22" ht="12.75">
      <c r="A107" s="22" t="s">
        <v>394</v>
      </c>
      <c r="B107" s="11"/>
      <c r="C107" s="22" t="s">
        <v>222</v>
      </c>
      <c r="D107" s="23">
        <v>36230</v>
      </c>
      <c r="E107" s="24" t="s">
        <v>275</v>
      </c>
      <c r="F107" s="25">
        <v>0.04861111111111111</v>
      </c>
      <c r="G107" s="25">
        <v>0.013888888888888888</v>
      </c>
      <c r="H107" s="26">
        <f>SUM(F107:G107)</f>
        <v>0.0625</v>
      </c>
      <c r="I107" s="25"/>
      <c r="J107" s="27">
        <v>12</v>
      </c>
      <c r="K107" s="277">
        <v>16</v>
      </c>
      <c r="L107" s="28">
        <v>24</v>
      </c>
      <c r="M107" s="28" t="s">
        <v>361</v>
      </c>
      <c r="N107" s="28">
        <v>1.2</v>
      </c>
      <c r="O107" s="29">
        <f aca="true" t="shared" si="26" ref="O107:O114">K107*1625088/N107/(1024*1024)</f>
        <v>20.6640625</v>
      </c>
      <c r="P107" s="30">
        <f aca="true" t="shared" si="27" ref="P107:P119">O107*126.31/3600</f>
        <v>0.7250215928819445</v>
      </c>
      <c r="Q107" s="30">
        <f>O107*63/3600</f>
        <v>0.36162109375</v>
      </c>
      <c r="R107" s="30">
        <f>O107*42.139/3600</f>
        <v>0.24187859157986114</v>
      </c>
      <c r="S107" s="24" t="s">
        <v>262</v>
      </c>
      <c r="T107" s="30" t="s">
        <v>211</v>
      </c>
      <c r="U107" s="31" t="s">
        <v>31</v>
      </c>
      <c r="V107" s="22" t="s">
        <v>107</v>
      </c>
    </row>
    <row r="108" spans="1:22" ht="12.75">
      <c r="A108" s="22"/>
      <c r="B108" s="11"/>
      <c r="C108" s="22"/>
      <c r="D108" s="23"/>
      <c r="E108" s="24"/>
      <c r="F108" s="25"/>
      <c r="G108" s="25"/>
      <c r="H108" s="26"/>
      <c r="I108" s="25"/>
      <c r="J108" s="27">
        <v>12</v>
      </c>
      <c r="K108" s="277">
        <v>20</v>
      </c>
      <c r="L108" s="28">
        <v>15</v>
      </c>
      <c r="M108" s="28" t="s">
        <v>362</v>
      </c>
      <c r="N108" s="28">
        <v>1.2</v>
      </c>
      <c r="O108" s="29">
        <f t="shared" si="26"/>
        <v>25.830078125</v>
      </c>
      <c r="P108" s="30">
        <f t="shared" si="27"/>
        <v>0.9062769911024305</v>
      </c>
      <c r="Q108" s="30">
        <f aca="true" t="shared" si="28" ref="Q108:Q114">O108*63/3600</f>
        <v>0.4520263671875</v>
      </c>
      <c r="R108" s="30">
        <f aca="true" t="shared" si="29" ref="R108:R114">O108*42.139/3600</f>
        <v>0.3023482394748264</v>
      </c>
      <c r="S108" s="24" t="s">
        <v>262</v>
      </c>
      <c r="T108" s="30" t="s">
        <v>211</v>
      </c>
      <c r="U108" s="31" t="s">
        <v>212</v>
      </c>
      <c r="V108" s="22" t="s">
        <v>107</v>
      </c>
    </row>
    <row r="109" spans="1:22" ht="12.75">
      <c r="A109" s="22" t="s">
        <v>231</v>
      </c>
      <c r="B109" s="11"/>
      <c r="C109" s="22" t="s">
        <v>222</v>
      </c>
      <c r="D109" s="23">
        <v>36230</v>
      </c>
      <c r="E109" s="24" t="s">
        <v>275</v>
      </c>
      <c r="F109" s="25">
        <v>0.12708333333333333</v>
      </c>
      <c r="G109" s="25">
        <v>0.013888888888888888</v>
      </c>
      <c r="H109" s="26">
        <f>SUM(F109:G109)</f>
        <v>0.14097222222222222</v>
      </c>
      <c r="I109" s="25"/>
      <c r="J109" s="27">
        <v>12</v>
      </c>
      <c r="K109" s="277">
        <v>28</v>
      </c>
      <c r="L109" s="28">
        <v>22</v>
      </c>
      <c r="M109" s="234" t="s">
        <v>103</v>
      </c>
      <c r="N109" s="28">
        <v>1.2</v>
      </c>
      <c r="O109" s="29">
        <f t="shared" si="26"/>
        <v>36.162109375</v>
      </c>
      <c r="P109" s="30">
        <f t="shared" si="27"/>
        <v>1.2687877875434028</v>
      </c>
      <c r="Q109" s="30">
        <f t="shared" si="28"/>
        <v>0.6328369140625</v>
      </c>
      <c r="R109" s="30">
        <f t="shared" si="29"/>
        <v>0.423287535264757</v>
      </c>
      <c r="S109" s="24" t="s">
        <v>262</v>
      </c>
      <c r="T109" s="30" t="s">
        <v>211</v>
      </c>
      <c r="U109" s="31" t="s">
        <v>31</v>
      </c>
      <c r="V109" s="22" t="s">
        <v>107</v>
      </c>
    </row>
    <row r="110" spans="1:22" ht="12.75">
      <c r="A110" s="22"/>
      <c r="B110" s="11"/>
      <c r="C110" s="22"/>
      <c r="D110" s="23"/>
      <c r="E110" s="24"/>
      <c r="F110" s="25"/>
      <c r="G110" s="25"/>
      <c r="H110" s="26"/>
      <c r="I110" s="25"/>
      <c r="J110" s="27">
        <v>12</v>
      </c>
      <c r="K110" s="277">
        <v>32</v>
      </c>
      <c r="L110" s="28">
        <v>21</v>
      </c>
      <c r="M110" s="235" t="s">
        <v>16</v>
      </c>
      <c r="N110" s="28">
        <v>1.2</v>
      </c>
      <c r="O110" s="29">
        <f t="shared" si="26"/>
        <v>41.328125</v>
      </c>
      <c r="P110" s="30">
        <f t="shared" si="27"/>
        <v>1.450043185763889</v>
      </c>
      <c r="Q110" s="30">
        <f t="shared" si="28"/>
        <v>0.7232421875</v>
      </c>
      <c r="R110" s="30">
        <f t="shared" si="29"/>
        <v>0.48375718315972227</v>
      </c>
      <c r="S110" s="24" t="s">
        <v>262</v>
      </c>
      <c r="T110" s="30" t="s">
        <v>211</v>
      </c>
      <c r="U110" s="31" t="s">
        <v>212</v>
      </c>
      <c r="V110" s="22" t="s">
        <v>107</v>
      </c>
    </row>
    <row r="111" spans="1:22" ht="12.75">
      <c r="A111" s="22" t="s">
        <v>232</v>
      </c>
      <c r="B111" s="11"/>
      <c r="C111" s="22" t="s">
        <v>222</v>
      </c>
      <c r="D111" s="23">
        <v>36230</v>
      </c>
      <c r="E111" s="24" t="s">
        <v>275</v>
      </c>
      <c r="F111" s="25">
        <v>0.14583333333333334</v>
      </c>
      <c r="G111" s="25">
        <v>0.013888888888888888</v>
      </c>
      <c r="H111" s="26">
        <f>SUM(F111:G111)</f>
        <v>0.15972222222222224</v>
      </c>
      <c r="I111" s="25"/>
      <c r="J111" s="27">
        <v>12</v>
      </c>
      <c r="K111" s="277">
        <v>28</v>
      </c>
      <c r="L111" s="28">
        <v>22</v>
      </c>
      <c r="M111" s="234" t="s">
        <v>103</v>
      </c>
      <c r="N111" s="28">
        <v>1.2</v>
      </c>
      <c r="O111" s="29">
        <f t="shared" si="26"/>
        <v>36.162109375</v>
      </c>
      <c r="P111" s="30">
        <f t="shared" si="27"/>
        <v>1.2687877875434028</v>
      </c>
      <c r="Q111" s="30">
        <f t="shared" si="28"/>
        <v>0.6328369140625</v>
      </c>
      <c r="R111" s="30">
        <f t="shared" si="29"/>
        <v>0.423287535264757</v>
      </c>
      <c r="S111" s="24" t="s">
        <v>262</v>
      </c>
      <c r="T111" s="30" t="s">
        <v>211</v>
      </c>
      <c r="U111" s="31" t="s">
        <v>31</v>
      </c>
      <c r="V111" s="22" t="s">
        <v>107</v>
      </c>
    </row>
    <row r="112" spans="1:22" ht="12.75">
      <c r="A112" s="22"/>
      <c r="B112" s="11"/>
      <c r="C112" s="22"/>
      <c r="D112" s="23"/>
      <c r="E112" s="24"/>
      <c r="F112" s="25"/>
      <c r="G112" s="25"/>
      <c r="H112" s="26"/>
      <c r="I112" s="25"/>
      <c r="J112" s="27">
        <v>12</v>
      </c>
      <c r="K112" s="277">
        <v>32</v>
      </c>
      <c r="L112" s="28">
        <v>21</v>
      </c>
      <c r="M112" s="235" t="s">
        <v>16</v>
      </c>
      <c r="N112" s="28">
        <v>1.2</v>
      </c>
      <c r="O112" s="29">
        <f t="shared" si="26"/>
        <v>41.328125</v>
      </c>
      <c r="P112" s="30">
        <f t="shared" si="27"/>
        <v>1.450043185763889</v>
      </c>
      <c r="Q112" s="30">
        <f t="shared" si="28"/>
        <v>0.7232421875</v>
      </c>
      <c r="R112" s="30">
        <f t="shared" si="29"/>
        <v>0.48375718315972227</v>
      </c>
      <c r="S112" s="24" t="s">
        <v>262</v>
      </c>
      <c r="T112" s="30" t="s">
        <v>211</v>
      </c>
      <c r="U112" s="31" t="s">
        <v>212</v>
      </c>
      <c r="V112" s="22" t="s">
        <v>107</v>
      </c>
    </row>
    <row r="113" spans="1:22" ht="12.75">
      <c r="A113" s="22" t="s">
        <v>233</v>
      </c>
      <c r="B113" s="11"/>
      <c r="C113" s="22" t="s">
        <v>222</v>
      </c>
      <c r="D113" s="23">
        <v>36230</v>
      </c>
      <c r="E113" s="24" t="s">
        <v>275</v>
      </c>
      <c r="F113" s="25">
        <v>0.15486111111111112</v>
      </c>
      <c r="G113" s="25">
        <v>0.013888888888888888</v>
      </c>
      <c r="H113" s="26">
        <f>SUM(F113:G113)</f>
        <v>0.16875</v>
      </c>
      <c r="I113" s="25"/>
      <c r="J113" s="27">
        <v>12</v>
      </c>
      <c r="K113" s="277">
        <v>28</v>
      </c>
      <c r="L113" s="28">
        <v>22</v>
      </c>
      <c r="M113" s="234" t="s">
        <v>103</v>
      </c>
      <c r="N113" s="28">
        <v>1.2</v>
      </c>
      <c r="O113" s="29">
        <f t="shared" si="26"/>
        <v>36.162109375</v>
      </c>
      <c r="P113" s="30">
        <f t="shared" si="27"/>
        <v>1.2687877875434028</v>
      </c>
      <c r="Q113" s="30">
        <f t="shared" si="28"/>
        <v>0.6328369140625</v>
      </c>
      <c r="R113" s="30">
        <f t="shared" si="29"/>
        <v>0.423287535264757</v>
      </c>
      <c r="S113" s="24" t="s">
        <v>262</v>
      </c>
      <c r="T113" s="30" t="s">
        <v>211</v>
      </c>
      <c r="U113" s="31" t="s">
        <v>31</v>
      </c>
      <c r="V113" s="22" t="s">
        <v>107</v>
      </c>
    </row>
    <row r="114" spans="1:22" ht="12.75">
      <c r="A114" s="22"/>
      <c r="B114" s="11"/>
      <c r="C114" s="22"/>
      <c r="D114" s="23"/>
      <c r="E114" s="24"/>
      <c r="F114" s="25"/>
      <c r="G114" s="25"/>
      <c r="H114" s="26"/>
      <c r="I114" s="25"/>
      <c r="J114" s="27">
        <v>12</v>
      </c>
      <c r="K114" s="277">
        <v>32</v>
      </c>
      <c r="L114" s="28">
        <v>21</v>
      </c>
      <c r="M114" s="235" t="s">
        <v>16</v>
      </c>
      <c r="N114" s="28">
        <v>1.2</v>
      </c>
      <c r="O114" s="29">
        <f t="shared" si="26"/>
        <v>41.328125</v>
      </c>
      <c r="P114" s="30">
        <f t="shared" si="27"/>
        <v>1.450043185763889</v>
      </c>
      <c r="Q114" s="30">
        <f t="shared" si="28"/>
        <v>0.7232421875</v>
      </c>
      <c r="R114" s="30">
        <f t="shared" si="29"/>
        <v>0.48375718315972227</v>
      </c>
      <c r="S114" s="24" t="s">
        <v>262</v>
      </c>
      <c r="T114" s="30" t="s">
        <v>211</v>
      </c>
      <c r="U114" s="31" t="s">
        <v>212</v>
      </c>
      <c r="V114" s="22" t="s">
        <v>107</v>
      </c>
    </row>
    <row r="115" spans="1:22" ht="12.75">
      <c r="A115" s="22" t="s">
        <v>234</v>
      </c>
      <c r="B115" s="11"/>
      <c r="C115" s="22" t="s">
        <v>222</v>
      </c>
      <c r="D115" s="23">
        <v>36230</v>
      </c>
      <c r="E115" s="24" t="s">
        <v>275</v>
      </c>
      <c r="F115" s="25">
        <v>0.21875</v>
      </c>
      <c r="G115" s="25">
        <v>0.013888888888888888</v>
      </c>
      <c r="H115" s="26">
        <f>SUM(F115:G115)</f>
        <v>0.2326388888888889</v>
      </c>
      <c r="I115" s="25"/>
      <c r="J115" s="27">
        <v>12</v>
      </c>
      <c r="K115" s="277">
        <v>28</v>
      </c>
      <c r="L115" s="28">
        <v>22</v>
      </c>
      <c r="M115" s="234" t="s">
        <v>103</v>
      </c>
      <c r="N115" s="28">
        <v>1.2</v>
      </c>
      <c r="O115" s="29">
        <f>K115*1625088/N115/(1024*1024)</f>
        <v>36.162109375</v>
      </c>
      <c r="P115" s="30">
        <f t="shared" si="27"/>
        <v>1.2687877875434028</v>
      </c>
      <c r="Q115" s="30">
        <f>O115*63/3600</f>
        <v>0.6328369140625</v>
      </c>
      <c r="R115" s="30">
        <f>O115*42.139/3600</f>
        <v>0.423287535264757</v>
      </c>
      <c r="S115" s="24" t="s">
        <v>262</v>
      </c>
      <c r="T115" s="30" t="s">
        <v>211</v>
      </c>
      <c r="U115" s="31" t="s">
        <v>31</v>
      </c>
      <c r="V115" s="22" t="s">
        <v>107</v>
      </c>
    </row>
    <row r="116" spans="1:22" ht="12.75">
      <c r="A116" s="22"/>
      <c r="B116" s="11"/>
      <c r="C116" s="22"/>
      <c r="D116" s="23"/>
      <c r="E116" s="24"/>
      <c r="F116" s="25"/>
      <c r="G116" s="25"/>
      <c r="H116" s="26"/>
      <c r="I116" s="25"/>
      <c r="J116" s="27">
        <v>12</v>
      </c>
      <c r="K116" s="277">
        <v>32</v>
      </c>
      <c r="L116" s="28">
        <v>21</v>
      </c>
      <c r="M116" s="235" t="s">
        <v>16</v>
      </c>
      <c r="N116" s="28">
        <v>1.2</v>
      </c>
      <c r="O116" s="29">
        <f>K116*1625088/N116/(1024*1024)</f>
        <v>41.328125</v>
      </c>
      <c r="P116" s="30">
        <f t="shared" si="27"/>
        <v>1.450043185763889</v>
      </c>
      <c r="Q116" s="30">
        <f>O116*63/3600</f>
        <v>0.7232421875</v>
      </c>
      <c r="R116" s="30">
        <f>O116*42.139/3600</f>
        <v>0.48375718315972227</v>
      </c>
      <c r="S116" s="24" t="s">
        <v>262</v>
      </c>
      <c r="T116" s="30" t="s">
        <v>211</v>
      </c>
      <c r="U116" s="31" t="s">
        <v>212</v>
      </c>
      <c r="V116" s="22" t="s">
        <v>107</v>
      </c>
    </row>
    <row r="117" spans="1:22" ht="25.5">
      <c r="A117" s="85" t="s">
        <v>236</v>
      </c>
      <c r="B117" s="86"/>
      <c r="C117" s="85" t="s">
        <v>282</v>
      </c>
      <c r="D117" s="87">
        <v>36230</v>
      </c>
      <c r="E117" s="88" t="s">
        <v>275</v>
      </c>
      <c r="F117" s="89">
        <v>0.23819444444444446</v>
      </c>
      <c r="G117" s="89">
        <v>0.017361111111111112</v>
      </c>
      <c r="H117" s="90">
        <f>SUM(G117+F117)</f>
        <v>0.2555555555555556</v>
      </c>
      <c r="I117" s="89"/>
      <c r="J117" s="91">
        <v>8</v>
      </c>
      <c r="K117" s="273">
        <v>16</v>
      </c>
      <c r="L117" s="92">
        <v>18</v>
      </c>
      <c r="M117" s="92">
        <v>4</v>
      </c>
      <c r="N117" s="92">
        <v>3</v>
      </c>
      <c r="O117" s="93">
        <f>K117*1625088/N117/(1024*1024)</f>
        <v>8.265625</v>
      </c>
      <c r="P117" s="94">
        <f>O117*126.31/3600</f>
        <v>0.2900086371527778</v>
      </c>
      <c r="Q117" s="94">
        <f>O117*63/3600</f>
        <v>0.1446484375</v>
      </c>
      <c r="R117" s="94">
        <f>O117*42.139/3600</f>
        <v>0.09675143663194445</v>
      </c>
      <c r="S117" s="88" t="s">
        <v>262</v>
      </c>
      <c r="T117" s="94" t="s">
        <v>211</v>
      </c>
      <c r="U117" s="95" t="s">
        <v>36</v>
      </c>
      <c r="V117" s="85" t="s">
        <v>107</v>
      </c>
    </row>
    <row r="118" spans="1:22" ht="12.75">
      <c r="A118" s="22" t="s">
        <v>238</v>
      </c>
      <c r="B118" s="11"/>
      <c r="C118" s="22" t="s">
        <v>222</v>
      </c>
      <c r="D118" s="23">
        <v>36230</v>
      </c>
      <c r="E118" s="24" t="s">
        <v>275</v>
      </c>
      <c r="F118" s="25">
        <v>0.25972222222222224</v>
      </c>
      <c r="G118" s="25">
        <v>0.013888888888888888</v>
      </c>
      <c r="H118" s="26">
        <f>SUM(F118:G118)</f>
        <v>0.27361111111111114</v>
      </c>
      <c r="I118" s="25"/>
      <c r="J118" s="27">
        <v>12</v>
      </c>
      <c r="K118" s="277">
        <v>28</v>
      </c>
      <c r="L118" s="28">
        <v>22</v>
      </c>
      <c r="M118" s="234" t="s">
        <v>103</v>
      </c>
      <c r="N118" s="28">
        <v>1.2</v>
      </c>
      <c r="O118" s="29">
        <f>K118*1625088/N118/(1024*1024)</f>
        <v>36.162109375</v>
      </c>
      <c r="P118" s="30">
        <f t="shared" si="27"/>
        <v>1.2687877875434028</v>
      </c>
      <c r="Q118" s="30">
        <f>O118*63/3600</f>
        <v>0.6328369140625</v>
      </c>
      <c r="R118" s="30">
        <f>O118*42.139/3600</f>
        <v>0.423287535264757</v>
      </c>
      <c r="S118" s="24" t="s">
        <v>262</v>
      </c>
      <c r="T118" s="30" t="s">
        <v>211</v>
      </c>
      <c r="U118" s="31" t="s">
        <v>205</v>
      </c>
      <c r="V118" s="22" t="s">
        <v>107</v>
      </c>
    </row>
    <row r="119" spans="1:22" ht="12.75">
      <c r="A119" s="22"/>
      <c r="B119" s="11"/>
      <c r="C119" s="22"/>
      <c r="D119" s="23"/>
      <c r="E119" s="24"/>
      <c r="F119" s="25"/>
      <c r="G119" s="25"/>
      <c r="H119" s="26"/>
      <c r="I119" s="25"/>
      <c r="J119" s="27">
        <v>12</v>
      </c>
      <c r="K119" s="277">
        <v>32</v>
      </c>
      <c r="L119" s="28">
        <v>21</v>
      </c>
      <c r="M119" s="235" t="s">
        <v>16</v>
      </c>
      <c r="N119" s="28">
        <v>1.2</v>
      </c>
      <c r="O119" s="29">
        <f>K119*1625088/N119/(1024*1024)</f>
        <v>41.328125</v>
      </c>
      <c r="P119" s="30">
        <f t="shared" si="27"/>
        <v>1.450043185763889</v>
      </c>
      <c r="Q119" s="30">
        <f>O119*63/3600</f>
        <v>0.7232421875</v>
      </c>
      <c r="R119" s="30">
        <f>O119*42.139/3600</f>
        <v>0.48375718315972227</v>
      </c>
      <c r="S119" s="24" t="s">
        <v>262</v>
      </c>
      <c r="T119" s="30" t="s">
        <v>211</v>
      </c>
      <c r="U119" s="31" t="s">
        <v>212</v>
      </c>
      <c r="V119" s="22" t="s">
        <v>107</v>
      </c>
    </row>
    <row r="120" spans="1:22" ht="21" customHeight="1">
      <c r="A120" s="77" t="s">
        <v>254</v>
      </c>
      <c r="B120" s="78"/>
      <c r="C120" s="79" t="s">
        <v>282</v>
      </c>
      <c r="D120" s="87">
        <v>36230</v>
      </c>
      <c r="E120" s="88" t="s">
        <v>275</v>
      </c>
      <c r="F120" s="80">
        <v>0.2708333333333333</v>
      </c>
      <c r="G120" s="80">
        <v>0.017361111111111112</v>
      </c>
      <c r="H120" s="80">
        <f>SUM(F120:G120)</f>
        <v>0.2881944444444444</v>
      </c>
      <c r="I120" s="78"/>
      <c r="J120" s="81">
        <v>12</v>
      </c>
      <c r="K120" s="265">
        <v>4</v>
      </c>
      <c r="L120" s="78">
        <v>29</v>
      </c>
      <c r="M120" s="78">
        <v>0</v>
      </c>
      <c r="N120" s="78">
        <v>2.5</v>
      </c>
      <c r="O120" s="82">
        <f>K120*1625088/N120/(1024*1024)</f>
        <v>2.4796875</v>
      </c>
      <c r="P120" s="94">
        <f>N120*63/3600</f>
        <v>0.04375</v>
      </c>
      <c r="Q120" s="83">
        <f>O120*63/3600</f>
        <v>0.04339453124999999</v>
      </c>
      <c r="R120" s="83">
        <f>O120*42.139/3600</f>
        <v>0.02902543098958333</v>
      </c>
      <c r="S120" s="88" t="s">
        <v>262</v>
      </c>
      <c r="T120" s="84" t="s">
        <v>37</v>
      </c>
      <c r="U120" s="109" t="s">
        <v>305</v>
      </c>
      <c r="V120" s="85" t="s">
        <v>107</v>
      </c>
    </row>
    <row r="121" spans="1:22" ht="15.75" customHeight="1">
      <c r="A121" s="217" t="s">
        <v>247</v>
      </c>
      <c r="B121" s="218"/>
      <c r="C121" s="204" t="s">
        <v>247</v>
      </c>
      <c r="D121" s="201">
        <v>36596</v>
      </c>
      <c r="E121" s="202" t="s">
        <v>275</v>
      </c>
      <c r="F121" s="219">
        <v>0.2916666666666667</v>
      </c>
      <c r="G121" s="219">
        <v>0.25</v>
      </c>
      <c r="H121" s="220">
        <v>0.5416666666666666</v>
      </c>
      <c r="I121" s="219"/>
      <c r="J121" s="221"/>
      <c r="K121" s="218"/>
      <c r="L121" s="217"/>
      <c r="M121" s="217"/>
      <c r="N121" s="217"/>
      <c r="O121" s="222"/>
      <c r="P121" s="203"/>
      <c r="Q121" s="203"/>
      <c r="R121" s="203"/>
      <c r="S121" s="202"/>
      <c r="T121" s="203"/>
      <c r="U121" s="204"/>
      <c r="V121" s="204"/>
    </row>
    <row r="122" spans="1:22" ht="25.5">
      <c r="A122" s="85" t="s">
        <v>237</v>
      </c>
      <c r="B122" s="86"/>
      <c r="C122" s="85" t="s">
        <v>282</v>
      </c>
      <c r="D122" s="87">
        <v>36230</v>
      </c>
      <c r="E122" s="88" t="s">
        <v>275</v>
      </c>
      <c r="F122" s="89">
        <v>0.5625</v>
      </c>
      <c r="G122" s="89">
        <v>0.013888888888888888</v>
      </c>
      <c r="H122" s="90">
        <f>SUM(G122+F122)</f>
        <v>0.5763888888888888</v>
      </c>
      <c r="I122" s="89"/>
      <c r="J122" s="91">
        <v>8</v>
      </c>
      <c r="K122" s="273">
        <v>16</v>
      </c>
      <c r="L122" s="92">
        <v>18</v>
      </c>
      <c r="M122" s="92">
        <v>4</v>
      </c>
      <c r="N122" s="92">
        <v>3</v>
      </c>
      <c r="O122" s="93">
        <f>K122*1625088/N122/(1024*1024)</f>
        <v>8.265625</v>
      </c>
      <c r="P122" s="94">
        <f>O122*126.31/3600</f>
        <v>0.2900086371527778</v>
      </c>
      <c r="Q122" s="94">
        <f>O122*63/3600</f>
        <v>0.1446484375</v>
      </c>
      <c r="R122" s="94">
        <f>O122*42.139/3600</f>
        <v>0.09675143663194445</v>
      </c>
      <c r="S122" s="88" t="s">
        <v>262</v>
      </c>
      <c r="T122" s="94" t="s">
        <v>211</v>
      </c>
      <c r="U122" s="95" t="s">
        <v>36</v>
      </c>
      <c r="V122" s="85" t="s">
        <v>107</v>
      </c>
    </row>
    <row r="123" spans="1:22" ht="12.75">
      <c r="A123" s="191" t="s">
        <v>35</v>
      </c>
      <c r="B123" s="52">
        <v>43</v>
      </c>
      <c r="C123" s="53"/>
      <c r="D123" s="54">
        <v>36230</v>
      </c>
      <c r="E123" s="55" t="s">
        <v>275</v>
      </c>
      <c r="F123" s="56">
        <v>0.59375</v>
      </c>
      <c r="G123" s="56">
        <v>0.42569444444444443</v>
      </c>
      <c r="H123" s="57">
        <f>SUM(F123:G123)</f>
        <v>1.0194444444444444</v>
      </c>
      <c r="I123" s="58"/>
      <c r="J123" s="59"/>
      <c r="K123" s="275"/>
      <c r="L123" s="58"/>
      <c r="M123" s="58"/>
      <c r="N123" s="58"/>
      <c r="O123" s="60">
        <f>SUM(O100:O122)</f>
        <v>656.5037464375</v>
      </c>
      <c r="P123" s="60">
        <f>SUM(P100:P122)</f>
        <v>22.947658210075172</v>
      </c>
      <c r="Q123" s="60">
        <f>SUM(Q100:Q122)</f>
        <v>11.484723803464332</v>
      </c>
      <c r="R123" s="60">
        <f>SUM(R100:R122)</f>
        <v>7.684558714202729</v>
      </c>
      <c r="S123" s="55"/>
      <c r="T123" s="60"/>
      <c r="U123" s="61"/>
      <c r="V123" s="53"/>
    </row>
    <row r="124" spans="1:22" ht="25.5">
      <c r="A124" s="85" t="s">
        <v>239</v>
      </c>
      <c r="B124" s="86"/>
      <c r="C124" s="85" t="s">
        <v>282</v>
      </c>
      <c r="D124" s="87">
        <v>36231</v>
      </c>
      <c r="E124" s="88" t="s">
        <v>274</v>
      </c>
      <c r="F124" s="89">
        <v>0.020833333333333332</v>
      </c>
      <c r="G124" s="89">
        <v>0.013888888888888888</v>
      </c>
      <c r="H124" s="90">
        <f>SUM(G124+F124)</f>
        <v>0.034722222222222224</v>
      </c>
      <c r="I124" s="89"/>
      <c r="J124" s="91">
        <v>8</v>
      </c>
      <c r="K124" s="273">
        <v>12</v>
      </c>
      <c r="L124" s="92">
        <v>18</v>
      </c>
      <c r="M124" s="92">
        <v>4</v>
      </c>
      <c r="N124" s="92">
        <v>3</v>
      </c>
      <c r="O124" s="93">
        <f>K124*1625088/N124/(1024*1024)</f>
        <v>6.19921875</v>
      </c>
      <c r="P124" s="94">
        <f>O124*126.31/3600</f>
        <v>0.21750647786458333</v>
      </c>
      <c r="Q124" s="94">
        <f>O124*63/3600</f>
        <v>0.108486328125</v>
      </c>
      <c r="R124" s="94">
        <f>O124*42.139/3600</f>
        <v>0.07256357747395835</v>
      </c>
      <c r="S124" s="88" t="s">
        <v>262</v>
      </c>
      <c r="T124" s="94" t="s">
        <v>211</v>
      </c>
      <c r="U124" s="95" t="s">
        <v>20</v>
      </c>
      <c r="V124" s="85" t="s">
        <v>107</v>
      </c>
    </row>
    <row r="125" spans="1:22" ht="21" customHeight="1">
      <c r="A125" s="77" t="s">
        <v>370</v>
      </c>
      <c r="B125" s="78"/>
      <c r="C125" s="79" t="s">
        <v>282</v>
      </c>
      <c r="D125" s="87">
        <v>36231</v>
      </c>
      <c r="E125" s="88" t="s">
        <v>274</v>
      </c>
      <c r="F125" s="80">
        <v>0.041666666666666664</v>
      </c>
      <c r="G125" s="80">
        <v>0.017361111111111112</v>
      </c>
      <c r="H125" s="80">
        <f>SUM(F125:G125)</f>
        <v>0.059027777777777776</v>
      </c>
      <c r="I125" s="78"/>
      <c r="J125" s="81">
        <v>12</v>
      </c>
      <c r="K125" s="265">
        <v>4</v>
      </c>
      <c r="L125" s="78">
        <v>29</v>
      </c>
      <c r="M125" s="78">
        <v>0</v>
      </c>
      <c r="N125" s="78">
        <v>2.5</v>
      </c>
      <c r="O125" s="82">
        <f>K125*1625088/N125/(1024*1024)</f>
        <v>2.4796875</v>
      </c>
      <c r="P125" s="94">
        <f>N125*63/3600</f>
        <v>0.04375</v>
      </c>
      <c r="Q125" s="83">
        <f>O125*63/3600</f>
        <v>0.04339453124999999</v>
      </c>
      <c r="R125" s="83">
        <f>O125*42.139/3600</f>
        <v>0.02902543098958333</v>
      </c>
      <c r="S125" s="88" t="s">
        <v>262</v>
      </c>
      <c r="T125" s="84" t="s">
        <v>37</v>
      </c>
      <c r="U125" s="109" t="s">
        <v>305</v>
      </c>
      <c r="V125" s="85" t="s">
        <v>107</v>
      </c>
    </row>
    <row r="126" spans="1:22" ht="24" customHeight="1">
      <c r="A126" s="42" t="s">
        <v>240</v>
      </c>
      <c r="B126" s="41"/>
      <c r="C126" s="42" t="s">
        <v>222</v>
      </c>
      <c r="D126" s="43">
        <v>36231</v>
      </c>
      <c r="E126" s="44" t="s">
        <v>274</v>
      </c>
      <c r="F126" s="45">
        <v>0.05902777777777778</v>
      </c>
      <c r="G126" s="45">
        <v>0.23263888888888887</v>
      </c>
      <c r="H126" s="46">
        <f>SUM(F126:G126)</f>
        <v>0.29166666666666663</v>
      </c>
      <c r="I126" s="45"/>
      <c r="J126" s="47">
        <v>12</v>
      </c>
      <c r="K126" s="272">
        <v>288</v>
      </c>
      <c r="L126" s="48">
        <v>18</v>
      </c>
      <c r="M126" s="48">
        <v>4</v>
      </c>
      <c r="N126" s="48">
        <v>2.5</v>
      </c>
      <c r="O126" s="49">
        <f aca="true" t="shared" si="30" ref="O126:O137">K126*1625088/N126/(1024*1024)</f>
        <v>178.5375</v>
      </c>
      <c r="P126" s="50">
        <f>O126*126.31/3600</f>
        <v>6.2641865625</v>
      </c>
      <c r="Q126" s="50">
        <f>O126*63/3600</f>
        <v>3.12440625</v>
      </c>
      <c r="R126" s="50">
        <f>O126*42.139/3600</f>
        <v>2.08983103125</v>
      </c>
      <c r="S126" s="44" t="s">
        <v>262</v>
      </c>
      <c r="T126" s="50" t="s">
        <v>211</v>
      </c>
      <c r="U126" s="51" t="s">
        <v>21</v>
      </c>
      <c r="V126" s="42" t="s">
        <v>107</v>
      </c>
    </row>
    <row r="127" spans="1:22" ht="25.5">
      <c r="A127" s="85" t="s">
        <v>241</v>
      </c>
      <c r="B127" s="86"/>
      <c r="C127" s="85" t="s">
        <v>282</v>
      </c>
      <c r="D127" s="87">
        <v>36231</v>
      </c>
      <c r="E127" s="88" t="s">
        <v>274</v>
      </c>
      <c r="F127" s="89">
        <v>0.2916666666666667</v>
      </c>
      <c r="G127" s="89">
        <v>0.013888888888888888</v>
      </c>
      <c r="H127" s="90">
        <f>SUM(G127+F127)</f>
        <v>0.3055555555555556</v>
      </c>
      <c r="I127" s="89"/>
      <c r="J127" s="91">
        <v>8</v>
      </c>
      <c r="K127" s="273">
        <v>6</v>
      </c>
      <c r="L127" s="92">
        <v>18</v>
      </c>
      <c r="M127" s="92">
        <v>4</v>
      </c>
      <c r="N127" s="92">
        <v>3</v>
      </c>
      <c r="O127" s="93">
        <f t="shared" si="30"/>
        <v>3.099609375</v>
      </c>
      <c r="P127" s="94">
        <f>O127*126.31/3600</f>
        <v>0.10875323893229166</v>
      </c>
      <c r="Q127" s="94">
        <f>O127*63/3600</f>
        <v>0.0542431640625</v>
      </c>
      <c r="R127" s="94">
        <f>O127*42.139/3600</f>
        <v>0.036281788736979174</v>
      </c>
      <c r="S127" s="88" t="s">
        <v>262</v>
      </c>
      <c r="T127" s="94" t="s">
        <v>211</v>
      </c>
      <c r="U127" s="95" t="s">
        <v>242</v>
      </c>
      <c r="V127" s="85" t="s">
        <v>107</v>
      </c>
    </row>
    <row r="128" spans="1:22" ht="12.75">
      <c r="A128" s="22" t="s">
        <v>364</v>
      </c>
      <c r="B128" s="11"/>
      <c r="C128" s="22" t="s">
        <v>222</v>
      </c>
      <c r="D128" s="23">
        <v>36231</v>
      </c>
      <c r="E128" s="24" t="s">
        <v>274</v>
      </c>
      <c r="F128" s="25">
        <v>0.3263888888888889</v>
      </c>
      <c r="G128" s="25">
        <v>0.013888888888888888</v>
      </c>
      <c r="H128" s="26">
        <f aca="true" t="shared" si="31" ref="H128:H134">SUM(F128:G128)</f>
        <v>0.3402777777777778</v>
      </c>
      <c r="I128" s="25"/>
      <c r="J128" s="27">
        <v>12</v>
      </c>
      <c r="K128" s="277">
        <v>16</v>
      </c>
      <c r="L128" s="28">
        <v>24</v>
      </c>
      <c r="M128" s="28" t="s">
        <v>361</v>
      </c>
      <c r="N128" s="28">
        <v>1.2</v>
      </c>
      <c r="O128" s="29">
        <f t="shared" si="30"/>
        <v>20.6640625</v>
      </c>
      <c r="P128" s="30">
        <f aca="true" t="shared" si="32" ref="P128:P146">O128*126.31/3600</f>
        <v>0.7250215928819445</v>
      </c>
      <c r="Q128" s="30">
        <f aca="true" t="shared" si="33" ref="Q128:Q137">O128*63/3600</f>
        <v>0.36162109375</v>
      </c>
      <c r="R128" s="30">
        <f aca="true" t="shared" si="34" ref="R128:R134">O128*42.139/3600</f>
        <v>0.24187859157986114</v>
      </c>
      <c r="S128" s="24" t="s">
        <v>262</v>
      </c>
      <c r="T128" s="30" t="s">
        <v>211</v>
      </c>
      <c r="U128" s="31" t="s">
        <v>371</v>
      </c>
      <c r="V128" s="22" t="s">
        <v>107</v>
      </c>
    </row>
    <row r="129" spans="1:22" ht="12.75">
      <c r="A129" s="22"/>
      <c r="B129" s="11"/>
      <c r="C129" s="22"/>
      <c r="D129" s="23"/>
      <c r="E129" s="24"/>
      <c r="F129" s="25"/>
      <c r="G129" s="25"/>
      <c r="H129" s="26"/>
      <c r="I129" s="25"/>
      <c r="J129" s="27">
        <v>12</v>
      </c>
      <c r="K129" s="277">
        <v>20</v>
      </c>
      <c r="L129" s="28">
        <v>15</v>
      </c>
      <c r="M129" s="28" t="s">
        <v>362</v>
      </c>
      <c r="N129" s="28">
        <v>1.2</v>
      </c>
      <c r="O129" s="29">
        <f t="shared" si="30"/>
        <v>25.830078125</v>
      </c>
      <c r="P129" s="30">
        <f t="shared" si="32"/>
        <v>0.9062769911024305</v>
      </c>
      <c r="Q129" s="30">
        <f t="shared" si="33"/>
        <v>0.4520263671875</v>
      </c>
      <c r="R129" s="30">
        <f>O129*42.139/3600</f>
        <v>0.3023482394748264</v>
      </c>
      <c r="S129" s="24" t="s">
        <v>262</v>
      </c>
      <c r="T129" s="30" t="s">
        <v>211</v>
      </c>
      <c r="U129" s="31" t="s">
        <v>212</v>
      </c>
      <c r="V129" s="22" t="s">
        <v>107</v>
      </c>
    </row>
    <row r="130" spans="1:22" ht="12.75">
      <c r="A130" s="22" t="s">
        <v>365</v>
      </c>
      <c r="B130" s="11"/>
      <c r="C130" s="22" t="s">
        <v>222</v>
      </c>
      <c r="D130" s="23">
        <v>36231</v>
      </c>
      <c r="E130" s="24" t="s">
        <v>274</v>
      </c>
      <c r="F130" s="25">
        <v>0.3590277777777778</v>
      </c>
      <c r="G130" s="25">
        <v>0.013888888888888888</v>
      </c>
      <c r="H130" s="26">
        <f t="shared" si="31"/>
        <v>0.3729166666666667</v>
      </c>
      <c r="I130" s="25"/>
      <c r="J130" s="27">
        <v>12</v>
      </c>
      <c r="K130" s="277">
        <v>28</v>
      </c>
      <c r="L130" s="28">
        <v>22</v>
      </c>
      <c r="M130" s="234" t="s">
        <v>103</v>
      </c>
      <c r="N130" s="28">
        <v>1.2</v>
      </c>
      <c r="O130" s="29">
        <f t="shared" si="30"/>
        <v>36.162109375</v>
      </c>
      <c r="P130" s="30">
        <f t="shared" si="32"/>
        <v>1.2687877875434028</v>
      </c>
      <c r="Q130" s="30">
        <f t="shared" si="33"/>
        <v>0.6328369140625</v>
      </c>
      <c r="R130" s="30">
        <f t="shared" si="34"/>
        <v>0.423287535264757</v>
      </c>
      <c r="S130" s="24" t="s">
        <v>262</v>
      </c>
      <c r="T130" s="30" t="s">
        <v>211</v>
      </c>
      <c r="U130" s="31" t="s">
        <v>371</v>
      </c>
      <c r="V130" s="22" t="s">
        <v>107</v>
      </c>
    </row>
    <row r="131" spans="1:22" ht="12.75">
      <c r="A131" s="22"/>
      <c r="B131" s="11"/>
      <c r="C131" s="22"/>
      <c r="D131" s="23"/>
      <c r="E131" s="24"/>
      <c r="F131" s="25"/>
      <c r="G131" s="25"/>
      <c r="H131" s="26"/>
      <c r="I131" s="25"/>
      <c r="J131" s="27">
        <v>12</v>
      </c>
      <c r="K131" s="277">
        <v>32</v>
      </c>
      <c r="L131" s="28">
        <v>21</v>
      </c>
      <c r="M131" s="235" t="s">
        <v>16</v>
      </c>
      <c r="N131" s="28">
        <v>1.2</v>
      </c>
      <c r="O131" s="29">
        <f t="shared" si="30"/>
        <v>41.328125</v>
      </c>
      <c r="P131" s="30">
        <f t="shared" si="32"/>
        <v>1.450043185763889</v>
      </c>
      <c r="Q131" s="30">
        <f t="shared" si="33"/>
        <v>0.7232421875</v>
      </c>
      <c r="R131" s="30">
        <f>O131*42.139/3600</f>
        <v>0.48375718315972227</v>
      </c>
      <c r="S131" s="24" t="s">
        <v>262</v>
      </c>
      <c r="T131" s="30" t="s">
        <v>211</v>
      </c>
      <c r="U131" s="31" t="s">
        <v>212</v>
      </c>
      <c r="V131" s="22" t="s">
        <v>107</v>
      </c>
    </row>
    <row r="132" spans="1:22" ht="12.75">
      <c r="A132" s="22" t="s">
        <v>123</v>
      </c>
      <c r="B132" s="11"/>
      <c r="C132" s="22" t="s">
        <v>222</v>
      </c>
      <c r="D132" s="23">
        <v>36231</v>
      </c>
      <c r="E132" s="24" t="s">
        <v>274</v>
      </c>
      <c r="F132" s="25">
        <v>0.375</v>
      </c>
      <c r="G132" s="25">
        <v>0.013888888888888888</v>
      </c>
      <c r="H132" s="26">
        <f t="shared" si="31"/>
        <v>0.3888888888888889</v>
      </c>
      <c r="I132" s="25"/>
      <c r="J132" s="27">
        <v>12</v>
      </c>
      <c r="K132" s="277">
        <v>28</v>
      </c>
      <c r="L132" s="28">
        <v>22</v>
      </c>
      <c r="M132" s="234" t="s">
        <v>103</v>
      </c>
      <c r="N132" s="28">
        <v>1.2</v>
      </c>
      <c r="O132" s="29">
        <f t="shared" si="30"/>
        <v>36.162109375</v>
      </c>
      <c r="P132" s="30">
        <f t="shared" si="32"/>
        <v>1.2687877875434028</v>
      </c>
      <c r="Q132" s="30">
        <f t="shared" si="33"/>
        <v>0.6328369140625</v>
      </c>
      <c r="R132" s="30">
        <f t="shared" si="34"/>
        <v>0.423287535264757</v>
      </c>
      <c r="S132" s="24" t="s">
        <v>262</v>
      </c>
      <c r="T132" s="30" t="s">
        <v>211</v>
      </c>
      <c r="U132" s="31" t="s">
        <v>205</v>
      </c>
      <c r="V132" s="22" t="s">
        <v>107</v>
      </c>
    </row>
    <row r="133" spans="1:22" ht="12.75">
      <c r="A133" s="22"/>
      <c r="B133" s="11"/>
      <c r="C133" s="22"/>
      <c r="D133" s="23"/>
      <c r="E133" s="24"/>
      <c r="F133" s="25"/>
      <c r="G133" s="25"/>
      <c r="H133" s="26"/>
      <c r="I133" s="25"/>
      <c r="J133" s="27">
        <v>12</v>
      </c>
      <c r="K133" s="277">
        <v>32</v>
      </c>
      <c r="L133" s="28">
        <v>21</v>
      </c>
      <c r="M133" s="235" t="s">
        <v>16</v>
      </c>
      <c r="N133" s="28">
        <v>1.2</v>
      </c>
      <c r="O133" s="29">
        <f t="shared" si="30"/>
        <v>41.328125</v>
      </c>
      <c r="P133" s="30">
        <f t="shared" si="32"/>
        <v>1.450043185763889</v>
      </c>
      <c r="Q133" s="30">
        <f t="shared" si="33"/>
        <v>0.7232421875</v>
      </c>
      <c r="R133" s="30">
        <f>O133*42.139/3600</f>
        <v>0.48375718315972227</v>
      </c>
      <c r="S133" s="24" t="s">
        <v>262</v>
      </c>
      <c r="T133" s="30" t="s">
        <v>211</v>
      </c>
      <c r="U133" s="31" t="s">
        <v>212</v>
      </c>
      <c r="V133" s="22" t="s">
        <v>107</v>
      </c>
    </row>
    <row r="134" spans="1:22" ht="12.75">
      <c r="A134" s="22" t="s">
        <v>124</v>
      </c>
      <c r="B134" s="11"/>
      <c r="C134" s="22" t="s">
        <v>222</v>
      </c>
      <c r="D134" s="23">
        <v>36231</v>
      </c>
      <c r="E134" s="24" t="s">
        <v>274</v>
      </c>
      <c r="F134" s="25">
        <v>0.4756944444444444</v>
      </c>
      <c r="G134" s="25">
        <v>0.013888888888888888</v>
      </c>
      <c r="H134" s="26">
        <f t="shared" si="31"/>
        <v>0.4895833333333333</v>
      </c>
      <c r="I134" s="25"/>
      <c r="J134" s="27">
        <v>12</v>
      </c>
      <c r="K134" s="277">
        <v>28</v>
      </c>
      <c r="L134" s="28">
        <v>22</v>
      </c>
      <c r="M134" s="234" t="s">
        <v>103</v>
      </c>
      <c r="N134" s="28">
        <v>1.2</v>
      </c>
      <c r="O134" s="29">
        <f t="shared" si="30"/>
        <v>36.162109375</v>
      </c>
      <c r="P134" s="30">
        <f t="shared" si="32"/>
        <v>1.2687877875434028</v>
      </c>
      <c r="Q134" s="30">
        <f t="shared" si="33"/>
        <v>0.6328369140625</v>
      </c>
      <c r="R134" s="30">
        <f t="shared" si="34"/>
        <v>0.423287535264757</v>
      </c>
      <c r="S134" s="24" t="s">
        <v>262</v>
      </c>
      <c r="T134" s="30" t="s">
        <v>211</v>
      </c>
      <c r="U134" s="31" t="s">
        <v>371</v>
      </c>
      <c r="V134" s="22" t="s">
        <v>107</v>
      </c>
    </row>
    <row r="135" spans="1:22" ht="12.75">
      <c r="A135" s="22"/>
      <c r="B135" s="11"/>
      <c r="C135" s="22"/>
      <c r="D135" s="23"/>
      <c r="E135" s="24"/>
      <c r="F135" s="25"/>
      <c r="G135" s="25"/>
      <c r="H135" s="26"/>
      <c r="I135" s="25"/>
      <c r="J135" s="27">
        <v>12</v>
      </c>
      <c r="K135" s="277">
        <v>32</v>
      </c>
      <c r="L135" s="28">
        <v>21</v>
      </c>
      <c r="M135" s="235" t="s">
        <v>16</v>
      </c>
      <c r="N135" s="28">
        <v>1.2</v>
      </c>
      <c r="O135" s="29">
        <f t="shared" si="30"/>
        <v>41.328125</v>
      </c>
      <c r="P135" s="30">
        <f t="shared" si="32"/>
        <v>1.450043185763889</v>
      </c>
      <c r="Q135" s="30">
        <f t="shared" si="33"/>
        <v>0.7232421875</v>
      </c>
      <c r="R135" s="30">
        <f>O135*42.139/3600</f>
        <v>0.48375718315972227</v>
      </c>
      <c r="S135" s="24" t="s">
        <v>262</v>
      </c>
      <c r="T135" s="30" t="s">
        <v>211</v>
      </c>
      <c r="U135" s="31" t="s">
        <v>212</v>
      </c>
      <c r="V135" s="22" t="s">
        <v>107</v>
      </c>
    </row>
    <row r="136" spans="1:22" ht="25.5">
      <c r="A136" s="85" t="s">
        <v>104</v>
      </c>
      <c r="B136" s="86"/>
      <c r="C136" s="85" t="s">
        <v>282</v>
      </c>
      <c r="D136" s="87">
        <v>36231</v>
      </c>
      <c r="E136" s="88" t="s">
        <v>274</v>
      </c>
      <c r="F136" s="89">
        <v>0.5381944444444444</v>
      </c>
      <c r="G136" s="89">
        <v>0.013888888888888888</v>
      </c>
      <c r="H136" s="90">
        <f>SUM(G136+F136)</f>
        <v>0.5520833333333333</v>
      </c>
      <c r="I136" s="89"/>
      <c r="J136" s="91">
        <v>8</v>
      </c>
      <c r="K136" s="273">
        <v>12</v>
      </c>
      <c r="L136" s="92">
        <v>18</v>
      </c>
      <c r="M136" s="92">
        <v>4</v>
      </c>
      <c r="N136" s="92">
        <v>3</v>
      </c>
      <c r="O136" s="93">
        <f t="shared" si="30"/>
        <v>6.19921875</v>
      </c>
      <c r="P136" s="94">
        <f t="shared" si="32"/>
        <v>0.21750647786458333</v>
      </c>
      <c r="Q136" s="94">
        <f t="shared" si="33"/>
        <v>0.108486328125</v>
      </c>
      <c r="R136" s="94">
        <f>O136*42.139/3600</f>
        <v>0.07256357747395835</v>
      </c>
      <c r="S136" s="88" t="s">
        <v>262</v>
      </c>
      <c r="T136" s="94" t="s">
        <v>211</v>
      </c>
      <c r="U136" s="95" t="s">
        <v>20</v>
      </c>
      <c r="V136" s="85" t="s">
        <v>107</v>
      </c>
    </row>
    <row r="137" spans="1:22" ht="25.5">
      <c r="A137" s="85" t="s">
        <v>105</v>
      </c>
      <c r="B137" s="86"/>
      <c r="C137" s="85" t="s">
        <v>282</v>
      </c>
      <c r="D137" s="87">
        <v>36231</v>
      </c>
      <c r="E137" s="88" t="s">
        <v>274</v>
      </c>
      <c r="F137" s="89">
        <v>0.6527777777777778</v>
      </c>
      <c r="G137" s="89">
        <v>0.013888888888888888</v>
      </c>
      <c r="H137" s="90">
        <f>SUM(G137+F137)</f>
        <v>0.6666666666666666</v>
      </c>
      <c r="I137" s="89"/>
      <c r="J137" s="91">
        <v>8</v>
      </c>
      <c r="K137" s="273">
        <v>12</v>
      </c>
      <c r="L137" s="92">
        <v>18</v>
      </c>
      <c r="M137" s="92">
        <v>4</v>
      </c>
      <c r="N137" s="92">
        <v>3</v>
      </c>
      <c r="O137" s="93">
        <f t="shared" si="30"/>
        <v>6.19921875</v>
      </c>
      <c r="P137" s="94">
        <f t="shared" si="32"/>
        <v>0.21750647786458333</v>
      </c>
      <c r="Q137" s="94">
        <f t="shared" si="33"/>
        <v>0.108486328125</v>
      </c>
      <c r="R137" s="94">
        <f>O137*42.139/3600</f>
        <v>0.07256357747395835</v>
      </c>
      <c r="S137" s="88" t="s">
        <v>262</v>
      </c>
      <c r="T137" s="94" t="s">
        <v>211</v>
      </c>
      <c r="U137" s="95" t="s">
        <v>20</v>
      </c>
      <c r="V137" s="85" t="s">
        <v>107</v>
      </c>
    </row>
    <row r="138" spans="1:22" ht="12.75">
      <c r="A138" s="191" t="s">
        <v>35</v>
      </c>
      <c r="B138" s="52">
        <v>43</v>
      </c>
      <c r="C138" s="53"/>
      <c r="D138" s="54">
        <v>36231</v>
      </c>
      <c r="E138" s="55" t="s">
        <v>274</v>
      </c>
      <c r="F138" s="56">
        <v>0.6770833333333334</v>
      </c>
      <c r="G138" s="56">
        <v>0.325</v>
      </c>
      <c r="H138" s="57">
        <f>SUM(F138:G138)</f>
        <v>1.0020833333333334</v>
      </c>
      <c r="I138" s="58"/>
      <c r="J138" s="59"/>
      <c r="K138" s="275"/>
      <c r="L138" s="58"/>
      <c r="M138" s="58"/>
      <c r="N138" s="58"/>
      <c r="O138" s="60">
        <f>SUM(O124:O137)</f>
        <v>481.679296875</v>
      </c>
      <c r="P138" s="60">
        <f>SUM(P124:P137)</f>
        <v>16.85700073893229</v>
      </c>
      <c r="Q138" s="60">
        <f>SUM(Q124:Q137)</f>
        <v>8.4293876953125</v>
      </c>
      <c r="R138" s="60">
        <f>SUM(R124:R137)</f>
        <v>5.638189969726563</v>
      </c>
      <c r="S138" s="55"/>
      <c r="T138" s="60"/>
      <c r="U138" s="61"/>
      <c r="V138" s="53"/>
    </row>
    <row r="139" spans="1:22" ht="25.5">
      <c r="A139" s="85" t="s">
        <v>106</v>
      </c>
      <c r="B139" s="86"/>
      <c r="C139" s="85" t="s">
        <v>282</v>
      </c>
      <c r="D139" s="87">
        <v>36232</v>
      </c>
      <c r="E139" s="88" t="s">
        <v>273</v>
      </c>
      <c r="F139" s="89">
        <v>0.003472222222222222</v>
      </c>
      <c r="G139" s="89">
        <v>0.013888888888888888</v>
      </c>
      <c r="H139" s="90">
        <f>SUM(G139+F139)</f>
        <v>0.017361111111111112</v>
      </c>
      <c r="I139" s="89"/>
      <c r="J139" s="91">
        <v>8</v>
      </c>
      <c r="K139" s="273">
        <v>12</v>
      </c>
      <c r="L139" s="92">
        <v>18</v>
      </c>
      <c r="M139" s="92">
        <v>4</v>
      </c>
      <c r="N139" s="92">
        <v>3</v>
      </c>
      <c r="O139" s="93">
        <f>K139*1625088/N139/(1024*1024)</f>
        <v>6.19921875</v>
      </c>
      <c r="P139" s="94">
        <f>O139*126.31/3600</f>
        <v>0.21750647786458333</v>
      </c>
      <c r="Q139" s="94">
        <f>O139*63/3600</f>
        <v>0.108486328125</v>
      </c>
      <c r="R139" s="94">
        <f>O139*42.139/3600</f>
        <v>0.07256357747395835</v>
      </c>
      <c r="S139" s="88" t="s">
        <v>262</v>
      </c>
      <c r="T139" s="94" t="s">
        <v>211</v>
      </c>
      <c r="U139" s="95" t="s">
        <v>20</v>
      </c>
      <c r="V139" s="85" t="s">
        <v>107</v>
      </c>
    </row>
    <row r="140" spans="1:22" ht="12.75">
      <c r="A140" s="22" t="s">
        <v>366</v>
      </c>
      <c r="B140" s="11"/>
      <c r="C140" s="22" t="s">
        <v>222</v>
      </c>
      <c r="D140" s="23">
        <v>36232</v>
      </c>
      <c r="E140" s="24" t="s">
        <v>273</v>
      </c>
      <c r="F140" s="25">
        <v>0.03125</v>
      </c>
      <c r="G140" s="25">
        <v>0.013888888888888888</v>
      </c>
      <c r="H140" s="26">
        <f>SUM(F140:G140)</f>
        <v>0.04513888888888889</v>
      </c>
      <c r="I140" s="25"/>
      <c r="J140" s="27">
        <v>12</v>
      </c>
      <c r="K140" s="277">
        <v>28</v>
      </c>
      <c r="L140" s="28">
        <v>22</v>
      </c>
      <c r="M140" s="234" t="s">
        <v>103</v>
      </c>
      <c r="N140" s="28">
        <v>1.2</v>
      </c>
      <c r="O140" s="29">
        <f aca="true" t="shared" si="35" ref="O140:O149">K140*1625088/N140/(1024*1024)</f>
        <v>36.162109375</v>
      </c>
      <c r="P140" s="30">
        <f t="shared" si="32"/>
        <v>1.2687877875434028</v>
      </c>
      <c r="Q140" s="30">
        <f aca="true" t="shared" si="36" ref="Q140:Q146">O140*63/3600</f>
        <v>0.6328369140625</v>
      </c>
      <c r="R140" s="30">
        <f aca="true" t="shared" si="37" ref="R140:R146">O140*42.139/3600</f>
        <v>0.423287535264757</v>
      </c>
      <c r="S140" s="24" t="s">
        <v>262</v>
      </c>
      <c r="T140" s="30" t="s">
        <v>211</v>
      </c>
      <c r="U140" s="31" t="s">
        <v>371</v>
      </c>
      <c r="V140" s="22" t="s">
        <v>107</v>
      </c>
    </row>
    <row r="141" spans="1:22" ht="12.75">
      <c r="A141" s="22"/>
      <c r="B141" s="11"/>
      <c r="C141" s="22"/>
      <c r="D141" s="23"/>
      <c r="E141" s="24"/>
      <c r="F141" s="25"/>
      <c r="G141" s="25"/>
      <c r="H141" s="26"/>
      <c r="I141" s="25"/>
      <c r="J141" s="27">
        <v>12</v>
      </c>
      <c r="K141" s="277">
        <v>32</v>
      </c>
      <c r="L141" s="28">
        <v>21</v>
      </c>
      <c r="M141" s="235" t="s">
        <v>16</v>
      </c>
      <c r="N141" s="28">
        <v>1.2</v>
      </c>
      <c r="O141" s="29">
        <f t="shared" si="35"/>
        <v>41.328125</v>
      </c>
      <c r="P141" s="30">
        <f t="shared" si="32"/>
        <v>1.450043185763889</v>
      </c>
      <c r="Q141" s="30">
        <f t="shared" si="36"/>
        <v>0.7232421875</v>
      </c>
      <c r="R141" s="30">
        <f t="shared" si="37"/>
        <v>0.48375718315972227</v>
      </c>
      <c r="S141" s="24" t="s">
        <v>262</v>
      </c>
      <c r="T141" s="30" t="s">
        <v>211</v>
      </c>
      <c r="U141" s="31" t="s">
        <v>212</v>
      </c>
      <c r="V141" s="22" t="s">
        <v>107</v>
      </c>
    </row>
    <row r="142" spans="1:22" ht="12.75">
      <c r="A142" s="22" t="s">
        <v>367</v>
      </c>
      <c r="B142" s="11"/>
      <c r="C142" s="22" t="s">
        <v>222</v>
      </c>
      <c r="D142" s="23">
        <v>36232</v>
      </c>
      <c r="E142" s="24" t="s">
        <v>273</v>
      </c>
      <c r="F142" s="25">
        <v>0.044444444444444446</v>
      </c>
      <c r="G142" s="25">
        <v>0.013888888888888888</v>
      </c>
      <c r="H142" s="26">
        <f>SUM(F142:G142)</f>
        <v>0.058333333333333334</v>
      </c>
      <c r="I142" s="25"/>
      <c r="J142" s="27">
        <v>12</v>
      </c>
      <c r="K142" s="277">
        <v>28</v>
      </c>
      <c r="L142" s="28">
        <v>22</v>
      </c>
      <c r="M142" s="234" t="s">
        <v>103</v>
      </c>
      <c r="N142" s="28">
        <v>1.2</v>
      </c>
      <c r="O142" s="29">
        <f t="shared" si="35"/>
        <v>36.162109375</v>
      </c>
      <c r="P142" s="30">
        <f t="shared" si="32"/>
        <v>1.2687877875434028</v>
      </c>
      <c r="Q142" s="30">
        <f t="shared" si="36"/>
        <v>0.6328369140625</v>
      </c>
      <c r="R142" s="30">
        <f t="shared" si="37"/>
        <v>0.423287535264757</v>
      </c>
      <c r="S142" s="24" t="s">
        <v>262</v>
      </c>
      <c r="T142" s="30" t="s">
        <v>211</v>
      </c>
      <c r="U142" s="31" t="s">
        <v>371</v>
      </c>
      <c r="V142" s="22" t="s">
        <v>107</v>
      </c>
    </row>
    <row r="143" spans="1:22" ht="12.75">
      <c r="A143" s="22"/>
      <c r="B143" s="11"/>
      <c r="C143" s="22"/>
      <c r="D143" s="23"/>
      <c r="E143" s="24"/>
      <c r="F143" s="25"/>
      <c r="G143" s="25"/>
      <c r="H143" s="26"/>
      <c r="I143" s="25"/>
      <c r="J143" s="27">
        <v>12</v>
      </c>
      <c r="K143" s="277">
        <v>32</v>
      </c>
      <c r="L143" s="28">
        <v>21</v>
      </c>
      <c r="M143" s="235" t="s">
        <v>16</v>
      </c>
      <c r="N143" s="28">
        <v>1.2</v>
      </c>
      <c r="O143" s="29">
        <f t="shared" si="35"/>
        <v>41.328125</v>
      </c>
      <c r="P143" s="30">
        <f t="shared" si="32"/>
        <v>1.450043185763889</v>
      </c>
      <c r="Q143" s="30">
        <f t="shared" si="36"/>
        <v>0.7232421875</v>
      </c>
      <c r="R143" s="30">
        <f t="shared" si="37"/>
        <v>0.48375718315972227</v>
      </c>
      <c r="S143" s="24" t="s">
        <v>262</v>
      </c>
      <c r="T143" s="30" t="s">
        <v>211</v>
      </c>
      <c r="U143" s="31" t="s">
        <v>212</v>
      </c>
      <c r="V143" s="22" t="s">
        <v>107</v>
      </c>
    </row>
    <row r="144" spans="1:22" ht="12.75">
      <c r="A144" s="22" t="s">
        <v>368</v>
      </c>
      <c r="B144" s="11"/>
      <c r="C144" s="22" t="s">
        <v>222</v>
      </c>
      <c r="D144" s="23">
        <v>36232</v>
      </c>
      <c r="E144" s="24" t="s">
        <v>273</v>
      </c>
      <c r="F144" s="25">
        <v>0.1423611111111111</v>
      </c>
      <c r="G144" s="25">
        <v>0.013888888888888888</v>
      </c>
      <c r="H144" s="26">
        <f>SUM(F144:G144)</f>
        <v>0.15625</v>
      </c>
      <c r="I144" s="25"/>
      <c r="J144" s="27">
        <v>12</v>
      </c>
      <c r="K144" s="277">
        <v>28</v>
      </c>
      <c r="L144" s="28">
        <v>22</v>
      </c>
      <c r="M144" s="234" t="s">
        <v>103</v>
      </c>
      <c r="N144" s="28">
        <v>1.2</v>
      </c>
      <c r="O144" s="29">
        <f t="shared" si="35"/>
        <v>36.162109375</v>
      </c>
      <c r="P144" s="30">
        <f t="shared" si="32"/>
        <v>1.2687877875434028</v>
      </c>
      <c r="Q144" s="30">
        <f t="shared" si="36"/>
        <v>0.6328369140625</v>
      </c>
      <c r="R144" s="30">
        <f t="shared" si="37"/>
        <v>0.423287535264757</v>
      </c>
      <c r="S144" s="24" t="s">
        <v>262</v>
      </c>
      <c r="T144" s="30" t="s">
        <v>211</v>
      </c>
      <c r="U144" s="31" t="s">
        <v>205</v>
      </c>
      <c r="V144" s="22" t="s">
        <v>107</v>
      </c>
    </row>
    <row r="145" spans="1:22" ht="12.75">
      <c r="A145" s="22"/>
      <c r="B145" s="11"/>
      <c r="C145" s="22"/>
      <c r="D145" s="23"/>
      <c r="E145" s="24"/>
      <c r="F145" s="25"/>
      <c r="G145" s="25"/>
      <c r="H145" s="26"/>
      <c r="I145" s="25"/>
      <c r="J145" s="27">
        <v>12</v>
      </c>
      <c r="K145" s="277">
        <v>32</v>
      </c>
      <c r="L145" s="28">
        <v>21</v>
      </c>
      <c r="M145" s="235" t="s">
        <v>16</v>
      </c>
      <c r="N145" s="28">
        <v>1.2</v>
      </c>
      <c r="O145" s="29">
        <f t="shared" si="35"/>
        <v>41.328125</v>
      </c>
      <c r="P145" s="30">
        <f t="shared" si="32"/>
        <v>1.450043185763889</v>
      </c>
      <c r="Q145" s="30">
        <f t="shared" si="36"/>
        <v>0.7232421875</v>
      </c>
      <c r="R145" s="30">
        <f t="shared" si="37"/>
        <v>0.48375718315972227</v>
      </c>
      <c r="S145" s="24" t="s">
        <v>262</v>
      </c>
      <c r="T145" s="30" t="s">
        <v>211</v>
      </c>
      <c r="U145" s="31" t="s">
        <v>212</v>
      </c>
      <c r="V145" s="22" t="s">
        <v>107</v>
      </c>
    </row>
    <row r="146" spans="1:22" ht="12.75">
      <c r="A146" s="22" t="s">
        <v>369</v>
      </c>
      <c r="B146" s="11"/>
      <c r="C146" s="22" t="s">
        <v>222</v>
      </c>
      <c r="D146" s="23">
        <v>36232</v>
      </c>
      <c r="E146" s="24" t="s">
        <v>273</v>
      </c>
      <c r="F146" s="25">
        <v>0.15625</v>
      </c>
      <c r="G146" s="25">
        <v>0.013888888888888888</v>
      </c>
      <c r="H146" s="26">
        <f>SUM(F146:G146)</f>
        <v>0.1701388888888889</v>
      </c>
      <c r="I146" s="25"/>
      <c r="J146" s="27">
        <v>12</v>
      </c>
      <c r="K146" s="277">
        <v>13</v>
      </c>
      <c r="L146" s="28">
        <v>22</v>
      </c>
      <c r="M146" s="234" t="s">
        <v>103</v>
      </c>
      <c r="N146" s="28">
        <v>1.2</v>
      </c>
      <c r="O146" s="29">
        <f t="shared" si="35"/>
        <v>16.78955078125</v>
      </c>
      <c r="P146" s="30">
        <f t="shared" si="32"/>
        <v>0.5890800442165798</v>
      </c>
      <c r="Q146" s="30">
        <f t="shared" si="36"/>
        <v>0.293817138671875</v>
      </c>
      <c r="R146" s="30">
        <f t="shared" si="37"/>
        <v>0.19652635565863716</v>
      </c>
      <c r="S146" s="24" t="s">
        <v>262</v>
      </c>
      <c r="T146" s="30" t="s">
        <v>211</v>
      </c>
      <c r="U146" s="31" t="s">
        <v>371</v>
      </c>
      <c r="V146" s="22" t="s">
        <v>107</v>
      </c>
    </row>
    <row r="147" spans="1:22" ht="25.5" customHeight="1">
      <c r="A147" s="283" t="s">
        <v>64</v>
      </c>
      <c r="B147" s="218"/>
      <c r="C147" s="204" t="s">
        <v>247</v>
      </c>
      <c r="D147" s="201">
        <v>36598</v>
      </c>
      <c r="E147" s="202" t="s">
        <v>273</v>
      </c>
      <c r="F147" s="219">
        <v>0.15625</v>
      </c>
      <c r="G147" s="284" t="s">
        <v>66</v>
      </c>
      <c r="H147" s="220" t="s">
        <v>65</v>
      </c>
      <c r="I147" s="219"/>
      <c r="J147" s="221"/>
      <c r="K147" s="218"/>
      <c r="L147" s="217"/>
      <c r="M147" s="217"/>
      <c r="N147" s="217"/>
      <c r="O147" s="222"/>
      <c r="P147" s="203"/>
      <c r="Q147" s="203"/>
      <c r="R147" s="203"/>
      <c r="S147" s="202"/>
      <c r="T147" s="203"/>
      <c r="U147" s="204" t="s">
        <v>221</v>
      </c>
      <c r="V147" s="204"/>
    </row>
    <row r="148" spans="1:22" ht="12.75">
      <c r="A148" s="191" t="s">
        <v>35</v>
      </c>
      <c r="B148" s="52">
        <v>63</v>
      </c>
      <c r="C148" s="53"/>
      <c r="D148" s="54">
        <v>36232</v>
      </c>
      <c r="E148" s="55" t="s">
        <v>273</v>
      </c>
      <c r="F148" s="56">
        <v>0.1875</v>
      </c>
      <c r="G148" s="56">
        <v>0.2520833333333333</v>
      </c>
      <c r="H148" s="57">
        <f>SUM(F148:G148)</f>
        <v>0.4395833333333333</v>
      </c>
      <c r="I148" s="58"/>
      <c r="J148" s="59"/>
      <c r="K148" s="275"/>
      <c r="L148" s="58"/>
      <c r="M148" s="58"/>
      <c r="N148" s="58"/>
      <c r="O148" s="60">
        <f>SUM(O138:O146)</f>
        <v>737.13876953125</v>
      </c>
      <c r="P148" s="60">
        <f>SUM(P138:P146)</f>
        <v>25.820080180935324</v>
      </c>
      <c r="Q148" s="60">
        <f>SUM(Q138:Q146)</f>
        <v>12.899928466796874</v>
      </c>
      <c r="R148" s="60">
        <f>SUM(R138:R146)</f>
        <v>8.628414058132597</v>
      </c>
      <c r="S148" s="55"/>
      <c r="T148" s="248"/>
      <c r="U148" s="61"/>
      <c r="V148" s="53"/>
    </row>
    <row r="149" spans="1:22" ht="13.5" thickBot="1">
      <c r="A149" s="236" t="s">
        <v>128</v>
      </c>
      <c r="B149" s="237"/>
      <c r="C149" s="238"/>
      <c r="D149" s="239"/>
      <c r="E149" s="240"/>
      <c r="F149" s="241"/>
      <c r="G149" s="241"/>
      <c r="H149" s="242"/>
      <c r="I149" s="243"/>
      <c r="J149" s="244"/>
      <c r="K149" s="279">
        <f>SUM(K66:K147)-K98-K105</f>
        <v>2880</v>
      </c>
      <c r="L149" s="243"/>
      <c r="M149" s="243"/>
      <c r="N149" s="75">
        <v>2</v>
      </c>
      <c r="O149" s="76">
        <f t="shared" si="35"/>
        <v>2231.71875</v>
      </c>
      <c r="P149" s="245"/>
      <c r="Q149" s="245"/>
      <c r="R149" s="245"/>
      <c r="S149" s="240"/>
      <c r="T149" s="246"/>
      <c r="U149" s="247"/>
      <c r="V149" s="238"/>
    </row>
    <row r="150" spans="1:22" ht="25.5" customHeight="1">
      <c r="A150" s="283" t="s">
        <v>64</v>
      </c>
      <c r="B150" s="218"/>
      <c r="C150" s="204" t="s">
        <v>247</v>
      </c>
      <c r="D150" s="201">
        <v>36598</v>
      </c>
      <c r="E150" s="202" t="s">
        <v>273</v>
      </c>
      <c r="F150" s="219">
        <v>0.15625</v>
      </c>
      <c r="G150" s="284" t="s">
        <v>66</v>
      </c>
      <c r="H150" s="220" t="s">
        <v>65</v>
      </c>
      <c r="I150" s="219"/>
      <c r="J150" s="221"/>
      <c r="K150" s="218"/>
      <c r="L150" s="217"/>
      <c r="M150" s="217"/>
      <c r="N150" s="217"/>
      <c r="O150" s="222"/>
      <c r="P150" s="203"/>
      <c r="Q150" s="203"/>
      <c r="R150" s="203"/>
      <c r="S150" s="202"/>
      <c r="T150" s="203"/>
      <c r="U150" s="204"/>
      <c r="V150" s="204"/>
    </row>
    <row r="151" spans="1:22" ht="12.75">
      <c r="A151" s="97" t="s">
        <v>190</v>
      </c>
      <c r="B151" s="98"/>
      <c r="C151" s="97" t="s">
        <v>222</v>
      </c>
      <c r="D151" s="99">
        <v>36233</v>
      </c>
      <c r="E151" s="100" t="s">
        <v>244</v>
      </c>
      <c r="F151" s="101">
        <v>0.125</v>
      </c>
      <c r="G151" s="101">
        <v>0.11805555555555557</v>
      </c>
      <c r="H151" s="102">
        <f>SUM(F151:G151)</f>
        <v>0.24305555555555558</v>
      </c>
      <c r="I151" s="101"/>
      <c r="J151" s="103"/>
      <c r="K151" s="278">
        <v>600</v>
      </c>
      <c r="L151" s="104">
        <v>9</v>
      </c>
      <c r="M151" s="104"/>
      <c r="N151" s="104"/>
      <c r="O151" s="107">
        <f>K151*2864/2.5/1000000</f>
        <v>0.68736</v>
      </c>
      <c r="P151" s="108">
        <f>O151*126.31/3600</f>
        <v>0.024116789333333333</v>
      </c>
      <c r="Q151" s="108">
        <f>O151*1000/17.6/3600</f>
        <v>0.010848484848484849</v>
      </c>
      <c r="R151" s="108">
        <f>O151*42.139/3600</f>
        <v>0.008045739733333333</v>
      </c>
      <c r="S151" s="100" t="s">
        <v>243</v>
      </c>
      <c r="T151" s="105" t="s">
        <v>211</v>
      </c>
      <c r="U151" s="106" t="s">
        <v>188</v>
      </c>
      <c r="V151" s="97" t="s">
        <v>107</v>
      </c>
    </row>
    <row r="152" spans="1:22" ht="25.5">
      <c r="A152" s="249" t="s">
        <v>312</v>
      </c>
      <c r="B152" s="250"/>
      <c r="C152" s="249" t="s">
        <v>263</v>
      </c>
      <c r="D152" s="251">
        <v>36599</v>
      </c>
      <c r="E152" s="252" t="s">
        <v>244</v>
      </c>
      <c r="F152" s="253">
        <v>0.37847222222222227</v>
      </c>
      <c r="G152" s="253">
        <v>0.022222222222222223</v>
      </c>
      <c r="H152" s="254">
        <f>SUM(F152:G152)</f>
        <v>0.40069444444444446</v>
      </c>
      <c r="I152" s="255"/>
      <c r="J152" s="256"/>
      <c r="K152" s="280">
        <v>100</v>
      </c>
      <c r="L152" s="255">
        <v>10</v>
      </c>
      <c r="M152" s="255"/>
      <c r="N152" s="255"/>
      <c r="O152" s="257">
        <f>K152*2864/2.5/1000000</f>
        <v>0.11456</v>
      </c>
      <c r="P152" s="258">
        <f>O152*126.31/3600</f>
        <v>0.004019464888888889</v>
      </c>
      <c r="Q152" s="258">
        <f>P152*62.9/3600</f>
        <v>7.022898375308642E-05</v>
      </c>
      <c r="R152" s="258">
        <f>Q152*42.139/3600</f>
        <v>8.22049762880919E-07</v>
      </c>
      <c r="S152" s="252" t="s">
        <v>243</v>
      </c>
      <c r="T152" s="259" t="s">
        <v>414</v>
      </c>
      <c r="U152" s="260" t="s">
        <v>313</v>
      </c>
      <c r="V152" s="249" t="s">
        <v>107</v>
      </c>
    </row>
    <row r="153" spans="1:22" ht="12.75">
      <c r="A153" s="191" t="s">
        <v>35</v>
      </c>
      <c r="B153" s="52">
        <v>43</v>
      </c>
      <c r="C153" s="53"/>
      <c r="D153" s="54">
        <v>36233</v>
      </c>
      <c r="E153" s="55" t="s">
        <v>244</v>
      </c>
      <c r="F153" s="56">
        <v>0.6493055555555556</v>
      </c>
      <c r="G153" s="56">
        <v>0.3576388888888889</v>
      </c>
      <c r="H153" s="57">
        <f>SUM(F153:G153)</f>
        <v>1.0069444444444444</v>
      </c>
      <c r="I153" s="58"/>
      <c r="J153" s="59"/>
      <c r="K153" s="275"/>
      <c r="L153" s="58"/>
      <c r="M153" s="58"/>
      <c r="N153" s="58"/>
      <c r="O153" s="60">
        <f>SUM(O150:O152)</f>
        <v>0.80192</v>
      </c>
      <c r="P153" s="60">
        <f>SUM(P150:P152)</f>
        <v>0.028136254222222223</v>
      </c>
      <c r="Q153" s="60">
        <f>SUM(Q150:Q152)</f>
        <v>0.010918713832237935</v>
      </c>
      <c r="R153" s="60">
        <f>SUM(R150:R152)</f>
        <v>0.008046561783096214</v>
      </c>
      <c r="S153" s="55"/>
      <c r="T153" s="60"/>
      <c r="U153" s="61"/>
      <c r="V153" s="53"/>
    </row>
    <row r="154" spans="1:22" ht="25.5">
      <c r="A154" s="85" t="s">
        <v>314</v>
      </c>
      <c r="B154" s="86"/>
      <c r="C154" s="85" t="s">
        <v>282</v>
      </c>
      <c r="D154" s="87">
        <v>36234</v>
      </c>
      <c r="E154" s="88" t="s">
        <v>245</v>
      </c>
      <c r="F154" s="89">
        <v>0.0125</v>
      </c>
      <c r="G154" s="89">
        <v>0.013888888888888888</v>
      </c>
      <c r="H154" s="90">
        <f>SUM(G154+F154)</f>
        <v>0.02638888888888889</v>
      </c>
      <c r="I154" s="89"/>
      <c r="J154" s="91">
        <v>8</v>
      </c>
      <c r="K154" s="273">
        <v>12</v>
      </c>
      <c r="L154" s="92">
        <v>18</v>
      </c>
      <c r="M154" s="92">
        <v>4</v>
      </c>
      <c r="N154" s="92">
        <v>3</v>
      </c>
      <c r="O154" s="93">
        <f>K154*1625088/N154/(1024*1024)</f>
        <v>6.19921875</v>
      </c>
      <c r="P154" s="94">
        <f>O154*126.31/3600</f>
        <v>0.21750647786458333</v>
      </c>
      <c r="Q154" s="94">
        <f>O154*63/3600</f>
        <v>0.108486328125</v>
      </c>
      <c r="R154" s="94">
        <f>O154*42.139/3600</f>
        <v>0.07256357747395835</v>
      </c>
      <c r="S154" s="88" t="s">
        <v>243</v>
      </c>
      <c r="T154" s="94" t="s">
        <v>211</v>
      </c>
      <c r="U154" s="95" t="s">
        <v>20</v>
      </c>
      <c r="V154" s="85" t="s">
        <v>107</v>
      </c>
    </row>
    <row r="155" spans="1:22" ht="34.5" customHeight="1">
      <c r="A155" s="42" t="s">
        <v>120</v>
      </c>
      <c r="B155" s="206"/>
      <c r="C155" s="205" t="s">
        <v>222</v>
      </c>
      <c r="D155" s="207">
        <v>36234</v>
      </c>
      <c r="E155" s="208" t="s">
        <v>245</v>
      </c>
      <c r="F155" s="209">
        <v>0.13194444444444445</v>
      </c>
      <c r="G155" s="209">
        <v>0.11805555555555557</v>
      </c>
      <c r="H155" s="210">
        <f>SUM(F155:G155)</f>
        <v>0.25</v>
      </c>
      <c r="I155" s="209"/>
      <c r="J155" s="211">
        <v>12</v>
      </c>
      <c r="K155" s="281">
        <v>130</v>
      </c>
      <c r="L155" s="212">
        <v>1</v>
      </c>
      <c r="M155" s="212">
        <v>4</v>
      </c>
      <c r="N155" s="212">
        <v>2.5</v>
      </c>
      <c r="O155" s="213">
        <f>K155*1625088/N155/(1024*1024)</f>
        <v>80.58984375</v>
      </c>
      <c r="P155" s="214">
        <f>O155*126.31/3600</f>
        <v>2.827584212239583</v>
      </c>
      <c r="Q155" s="214">
        <f>O155*63/3600</f>
        <v>1.410322265625</v>
      </c>
      <c r="R155" s="214">
        <f>O155*42.139/3600</f>
        <v>0.9433265071614584</v>
      </c>
      <c r="S155" s="208" t="s">
        <v>243</v>
      </c>
      <c r="T155" s="214" t="s">
        <v>211</v>
      </c>
      <c r="U155" s="51" t="s">
        <v>412</v>
      </c>
      <c r="V155" s="205" t="s">
        <v>107</v>
      </c>
    </row>
    <row r="156" spans="1:22" ht="12.75">
      <c r="A156" s="97" t="s">
        <v>191</v>
      </c>
      <c r="B156" s="98"/>
      <c r="C156" s="97" t="s">
        <v>222</v>
      </c>
      <c r="D156" s="99">
        <v>36234</v>
      </c>
      <c r="E156" s="100" t="s">
        <v>245</v>
      </c>
      <c r="F156" s="101">
        <v>0.13194444444444445</v>
      </c>
      <c r="G156" s="101">
        <v>0.11805555555555557</v>
      </c>
      <c r="H156" s="102">
        <f>SUM(F156:G156)</f>
        <v>0.25</v>
      </c>
      <c r="I156" s="101"/>
      <c r="J156" s="103"/>
      <c r="K156" s="278">
        <v>600</v>
      </c>
      <c r="L156" s="104">
        <v>9</v>
      </c>
      <c r="M156" s="104"/>
      <c r="N156" s="104"/>
      <c r="O156" s="107">
        <f>K156*2864/2.5/1000000</f>
        <v>0.68736</v>
      </c>
      <c r="P156" s="108">
        <f>O156*126.31/3600</f>
        <v>0.024116789333333333</v>
      </c>
      <c r="Q156" s="108">
        <f>O156*1000/17.6/3600</f>
        <v>0.010848484848484849</v>
      </c>
      <c r="R156" s="108">
        <f>O156*42.139/3600</f>
        <v>0.008045739733333333</v>
      </c>
      <c r="S156" s="100" t="s">
        <v>243</v>
      </c>
      <c r="T156" s="105" t="s">
        <v>211</v>
      </c>
      <c r="U156" s="106" t="s">
        <v>188</v>
      </c>
      <c r="V156" s="97" t="s">
        <v>107</v>
      </c>
    </row>
    <row r="157" spans="1:22" ht="25.5">
      <c r="A157" s="85" t="s">
        <v>121</v>
      </c>
      <c r="B157" s="86"/>
      <c r="C157" s="85" t="s">
        <v>282</v>
      </c>
      <c r="D157" s="87">
        <v>36234</v>
      </c>
      <c r="E157" s="88" t="s">
        <v>245</v>
      </c>
      <c r="F157" s="89">
        <v>0.25</v>
      </c>
      <c r="G157" s="89">
        <v>0.013888888888888888</v>
      </c>
      <c r="H157" s="90">
        <f>SUM(G157+F157)</f>
        <v>0.2638888888888889</v>
      </c>
      <c r="I157" s="89"/>
      <c r="J157" s="91">
        <v>8</v>
      </c>
      <c r="K157" s="273">
        <v>12</v>
      </c>
      <c r="L157" s="92">
        <v>18</v>
      </c>
      <c r="M157" s="92">
        <v>4</v>
      </c>
      <c r="N157" s="92">
        <v>3</v>
      </c>
      <c r="O157" s="93">
        <f>K157*1625088/N157/(1024*1024)</f>
        <v>6.19921875</v>
      </c>
      <c r="P157" s="94">
        <f>O157*126.31/3600</f>
        <v>0.21750647786458333</v>
      </c>
      <c r="Q157" s="94">
        <f>O157*63/3600</f>
        <v>0.108486328125</v>
      </c>
      <c r="R157" s="94">
        <f>O157*42.139/3600</f>
        <v>0.07256357747395835</v>
      </c>
      <c r="S157" s="88" t="s">
        <v>243</v>
      </c>
      <c r="T157" s="94" t="s">
        <v>211</v>
      </c>
      <c r="U157" s="95" t="s">
        <v>27</v>
      </c>
      <c r="V157" s="85" t="s">
        <v>107</v>
      </c>
    </row>
    <row r="158" spans="1:22" ht="24.75" customHeight="1">
      <c r="A158" s="42" t="s">
        <v>411</v>
      </c>
      <c r="B158" s="41"/>
      <c r="C158" s="42" t="s">
        <v>222</v>
      </c>
      <c r="D158" s="43">
        <v>36600</v>
      </c>
      <c r="E158" s="44" t="s">
        <v>245</v>
      </c>
      <c r="F158" s="45">
        <v>0.2708333333333333</v>
      </c>
      <c r="G158" s="45">
        <v>0.20486111111111113</v>
      </c>
      <c r="H158" s="46">
        <f>SUM(F158:G158)</f>
        <v>0.4756944444444444</v>
      </c>
      <c r="I158" s="45"/>
      <c r="J158" s="47">
        <v>8</v>
      </c>
      <c r="K158" s="272">
        <v>260</v>
      </c>
      <c r="L158" s="48">
        <v>1</v>
      </c>
      <c r="M158" s="48">
        <v>4</v>
      </c>
      <c r="N158" s="48">
        <v>3</v>
      </c>
      <c r="O158" s="49">
        <f>K158*1625088/N158/(1024*1024)</f>
        <v>134.31640625</v>
      </c>
      <c r="P158" s="50">
        <f>O158*126.31/3600</f>
        <v>4.712640353732638</v>
      </c>
      <c r="Q158" s="50">
        <f>O158*63/3600</f>
        <v>2.350537109375</v>
      </c>
      <c r="R158" s="50">
        <f>O158*42.139/3600</f>
        <v>1.5722108452690973</v>
      </c>
      <c r="S158" s="44" t="s">
        <v>243</v>
      </c>
      <c r="T158" s="50" t="s">
        <v>211</v>
      </c>
      <c r="U158" s="51" t="s">
        <v>185</v>
      </c>
      <c r="V158" s="42" t="s">
        <v>107</v>
      </c>
    </row>
    <row r="159" spans="1:22" ht="12.75">
      <c r="A159" s="97" t="s">
        <v>186</v>
      </c>
      <c r="B159" s="98"/>
      <c r="C159" s="97" t="s">
        <v>222</v>
      </c>
      <c r="D159" s="99">
        <v>36234</v>
      </c>
      <c r="E159" s="100" t="s">
        <v>245</v>
      </c>
      <c r="F159" s="101">
        <v>0.2708333333333333</v>
      </c>
      <c r="G159" s="101">
        <v>0.20486111111111113</v>
      </c>
      <c r="H159" s="102">
        <f>SUM(F159:G159)</f>
        <v>0.4756944444444444</v>
      </c>
      <c r="I159" s="101"/>
      <c r="J159" s="103"/>
      <c r="K159" s="278">
        <v>1040</v>
      </c>
      <c r="L159" s="104">
        <v>7</v>
      </c>
      <c r="M159" s="104"/>
      <c r="N159" s="104"/>
      <c r="O159" s="107">
        <f>K159*2864/2.5/1000000</f>
        <v>1.191424</v>
      </c>
      <c r="P159" s="108">
        <f>O159*126.31/3600</f>
        <v>0.041802434844444444</v>
      </c>
      <c r="Q159" s="108">
        <f>O159*1000/17.6/3600</f>
        <v>0.018804040404040403</v>
      </c>
      <c r="R159" s="108">
        <f>O159*42.139/3600</f>
        <v>0.013945948871111113</v>
      </c>
      <c r="S159" s="100" t="s">
        <v>243</v>
      </c>
      <c r="T159" s="105" t="s">
        <v>211</v>
      </c>
      <c r="U159" s="106" t="s">
        <v>188</v>
      </c>
      <c r="V159" s="97" t="s">
        <v>107</v>
      </c>
    </row>
    <row r="160" spans="1:22" ht="21" customHeight="1">
      <c r="A160" s="121" t="s">
        <v>246</v>
      </c>
      <c r="B160" s="122"/>
      <c r="C160" s="123" t="s">
        <v>282</v>
      </c>
      <c r="D160" s="182">
        <v>36234</v>
      </c>
      <c r="E160" s="183" t="s">
        <v>245</v>
      </c>
      <c r="F160" s="126">
        <v>0.4791666666666667</v>
      </c>
      <c r="G160" s="126">
        <v>0.017361111111111112</v>
      </c>
      <c r="H160" s="126">
        <f>SUM(F160:G160)</f>
        <v>0.4965277777777778</v>
      </c>
      <c r="I160" s="122"/>
      <c r="J160" s="127">
        <v>12</v>
      </c>
      <c r="K160" s="263">
        <v>4</v>
      </c>
      <c r="L160" s="122">
        <v>29</v>
      </c>
      <c r="M160" s="122">
        <v>0</v>
      </c>
      <c r="N160" s="122">
        <v>2.5</v>
      </c>
      <c r="O160" s="128">
        <f>K160*1625088/N160/(1024*1024)</f>
        <v>2.4796875</v>
      </c>
      <c r="P160" s="189">
        <f>N160*63/3600</f>
        <v>0.04375</v>
      </c>
      <c r="Q160" s="129">
        <f>O160*63/3600</f>
        <v>0.04339453124999999</v>
      </c>
      <c r="R160" s="129">
        <f>O160*42.139/3600</f>
        <v>0.02902543098958333</v>
      </c>
      <c r="S160" s="183" t="s">
        <v>243</v>
      </c>
      <c r="T160" s="130" t="s">
        <v>37</v>
      </c>
      <c r="U160" s="216" t="s">
        <v>305</v>
      </c>
      <c r="V160" s="85" t="s">
        <v>107</v>
      </c>
    </row>
    <row r="161" spans="1:22" ht="15.75" customHeight="1">
      <c r="A161" s="217" t="s">
        <v>247</v>
      </c>
      <c r="B161" s="218"/>
      <c r="C161" s="204" t="s">
        <v>247</v>
      </c>
      <c r="D161" s="201">
        <v>36600</v>
      </c>
      <c r="E161" s="202" t="s">
        <v>245</v>
      </c>
      <c r="F161" s="219">
        <v>0.5</v>
      </c>
      <c r="G161" s="219">
        <v>0.25</v>
      </c>
      <c r="H161" s="220">
        <v>0.75</v>
      </c>
      <c r="I161" s="219"/>
      <c r="J161" s="221"/>
      <c r="K161" s="218"/>
      <c r="L161" s="217"/>
      <c r="M161" s="217"/>
      <c r="N161" s="217"/>
      <c r="O161" s="222"/>
      <c r="P161" s="203"/>
      <c r="Q161" s="203"/>
      <c r="R161" s="203"/>
      <c r="S161" s="202"/>
      <c r="T161" s="203"/>
      <c r="U161" s="204"/>
      <c r="V161" s="204"/>
    </row>
    <row r="162" spans="1:22" ht="25.5">
      <c r="A162" s="85" t="s">
        <v>122</v>
      </c>
      <c r="B162" s="86"/>
      <c r="C162" s="85" t="s">
        <v>282</v>
      </c>
      <c r="D162" s="87">
        <v>36234</v>
      </c>
      <c r="E162" s="88" t="s">
        <v>245</v>
      </c>
      <c r="F162" s="89">
        <v>0.75</v>
      </c>
      <c r="G162" s="89">
        <v>0.013888888888888888</v>
      </c>
      <c r="H162" s="90">
        <f>SUM(G162+F162)</f>
        <v>0.7638888888888888</v>
      </c>
      <c r="I162" s="89"/>
      <c r="J162" s="91">
        <v>8</v>
      </c>
      <c r="K162" s="273">
        <v>12</v>
      </c>
      <c r="L162" s="92">
        <v>18</v>
      </c>
      <c r="M162" s="92">
        <v>4</v>
      </c>
      <c r="N162" s="92">
        <v>3</v>
      </c>
      <c r="O162" s="93">
        <f>K162*1625088/N162/(1024*1024)</f>
        <v>6.19921875</v>
      </c>
      <c r="P162" s="94">
        <f>O162*126.31/3600</f>
        <v>0.21750647786458333</v>
      </c>
      <c r="Q162" s="94">
        <f>O162*63/3600</f>
        <v>0.108486328125</v>
      </c>
      <c r="R162" s="94">
        <f>O162*42.139/3600</f>
        <v>0.07256357747395835</v>
      </c>
      <c r="S162" s="88" t="s">
        <v>243</v>
      </c>
      <c r="T162" s="94" t="s">
        <v>211</v>
      </c>
      <c r="U162" s="95" t="s">
        <v>27</v>
      </c>
      <c r="V162" s="85" t="s">
        <v>107</v>
      </c>
    </row>
    <row r="163" spans="1:22" ht="12.75">
      <c r="A163" s="191" t="s">
        <v>35</v>
      </c>
      <c r="B163" s="52">
        <v>43</v>
      </c>
      <c r="C163" s="53"/>
      <c r="D163" s="54">
        <v>36234</v>
      </c>
      <c r="E163" s="55" t="s">
        <v>245</v>
      </c>
      <c r="F163" s="56">
        <v>0.7743055555555555</v>
      </c>
      <c r="G163" s="56">
        <v>0.2708333333333333</v>
      </c>
      <c r="H163" s="57">
        <f>SUM(F163:G163)</f>
        <v>1.0451388888888888</v>
      </c>
      <c r="I163" s="58"/>
      <c r="J163" s="59"/>
      <c r="K163" s="275"/>
      <c r="L163" s="58"/>
      <c r="M163" s="58"/>
      <c r="N163" s="58"/>
      <c r="O163" s="60">
        <f>SUM(O154:O162)</f>
        <v>237.86237775000004</v>
      </c>
      <c r="P163" s="60">
        <f>SUM(P154:P162)</f>
        <v>8.302413223743748</v>
      </c>
      <c r="Q163" s="60">
        <f>SUM(Q154:Q162)</f>
        <v>4.159365415877525</v>
      </c>
      <c r="R163" s="60">
        <f>SUM(R154:R162)</f>
        <v>2.7842452044464583</v>
      </c>
      <c r="S163" s="55"/>
      <c r="T163" s="60"/>
      <c r="U163" s="61"/>
      <c r="V163" s="53"/>
    </row>
    <row r="164" spans="1:22" ht="25.5">
      <c r="A164" s="85" t="s">
        <v>334</v>
      </c>
      <c r="B164" s="86"/>
      <c r="C164" s="85" t="s">
        <v>282</v>
      </c>
      <c r="D164" s="87">
        <v>36235</v>
      </c>
      <c r="E164" s="88" t="s">
        <v>283</v>
      </c>
      <c r="F164" s="89">
        <v>0.04513888888888889</v>
      </c>
      <c r="G164" s="89">
        <v>0.013888888888888888</v>
      </c>
      <c r="H164" s="90">
        <f>SUM(G164+F164)</f>
        <v>0.059027777777777776</v>
      </c>
      <c r="I164" s="89"/>
      <c r="J164" s="91">
        <v>8</v>
      </c>
      <c r="K164" s="273">
        <v>15</v>
      </c>
      <c r="L164" s="92">
        <v>18</v>
      </c>
      <c r="M164" s="92">
        <v>4</v>
      </c>
      <c r="N164" s="92">
        <v>3</v>
      </c>
      <c r="O164" s="93">
        <f>K164*1625088/N164/(1024*1024)</f>
        <v>7.7490234375</v>
      </c>
      <c r="P164" s="94">
        <f>O164*126.31/3600</f>
        <v>0.2718830973307292</v>
      </c>
      <c r="Q164" s="94">
        <f>O164*63/3600</f>
        <v>0.13560791015625</v>
      </c>
      <c r="R164" s="94">
        <f>O164*42.139/3600</f>
        <v>0.09070447184244793</v>
      </c>
      <c r="S164" s="88" t="s">
        <v>243</v>
      </c>
      <c r="T164" s="94" t="s">
        <v>211</v>
      </c>
      <c r="U164" s="95" t="s">
        <v>30</v>
      </c>
      <c r="V164" s="85" t="s">
        <v>107</v>
      </c>
    </row>
    <row r="165" spans="1:22" ht="24" customHeight="1">
      <c r="A165" s="205" t="s">
        <v>194</v>
      </c>
      <c r="B165" s="206"/>
      <c r="C165" s="205" t="s">
        <v>222</v>
      </c>
      <c r="D165" s="207">
        <v>36235</v>
      </c>
      <c r="E165" s="208" t="s">
        <v>283</v>
      </c>
      <c r="F165" s="209">
        <v>0.25</v>
      </c>
      <c r="G165" s="209">
        <v>0.22708333333333333</v>
      </c>
      <c r="H165" s="210">
        <f>SUM(F165:G165)</f>
        <v>0.4770833333333333</v>
      </c>
      <c r="I165" s="209"/>
      <c r="J165" s="211">
        <v>12</v>
      </c>
      <c r="K165" s="281">
        <v>240</v>
      </c>
      <c r="L165" s="212">
        <v>18</v>
      </c>
      <c r="M165" s="212">
        <v>4</v>
      </c>
      <c r="N165" s="212">
        <v>3</v>
      </c>
      <c r="O165" s="213">
        <f>K165*1625088/N165/(1024*1024)</f>
        <v>123.984375</v>
      </c>
      <c r="P165" s="214">
        <f>O165*126.31/3600</f>
        <v>4.350129557291667</v>
      </c>
      <c r="Q165" s="214">
        <f>O165*63/3600</f>
        <v>2.1697265625</v>
      </c>
      <c r="R165" s="214">
        <f>O165*42.139/3600</f>
        <v>1.4512715494791668</v>
      </c>
      <c r="S165" s="208" t="s">
        <v>243</v>
      </c>
      <c r="T165" s="214" t="s">
        <v>211</v>
      </c>
      <c r="U165" s="215" t="s">
        <v>192</v>
      </c>
      <c r="V165" s="205" t="s">
        <v>107</v>
      </c>
    </row>
    <row r="166" spans="1:22" ht="12.75">
      <c r="A166" s="97" t="s">
        <v>193</v>
      </c>
      <c r="B166" s="98"/>
      <c r="C166" s="97" t="s">
        <v>222</v>
      </c>
      <c r="D166" s="99">
        <v>36235</v>
      </c>
      <c r="E166" s="100" t="s">
        <v>283</v>
      </c>
      <c r="F166" s="101">
        <v>0.25</v>
      </c>
      <c r="G166" s="101">
        <v>0.22708333333333333</v>
      </c>
      <c r="H166" s="102">
        <f>SUM(F166:G166)</f>
        <v>0.4770833333333333</v>
      </c>
      <c r="I166" s="101"/>
      <c r="J166" s="103"/>
      <c r="K166" s="278">
        <v>4296</v>
      </c>
      <c r="L166" s="104">
        <v>5</v>
      </c>
      <c r="M166" s="104"/>
      <c r="N166" s="104"/>
      <c r="O166" s="107">
        <f>K166*2864/2.5/1000000</f>
        <v>4.9214975999999995</v>
      </c>
      <c r="P166" s="108">
        <f>O166*126.31/3600</f>
        <v>0.17267621162666666</v>
      </c>
      <c r="Q166" s="108">
        <f>O166*1000/17.6/3600</f>
        <v>0.0776751515151515</v>
      </c>
      <c r="R166" s="108">
        <f>O166*42.139/3600</f>
        <v>0.05760749649066666</v>
      </c>
      <c r="S166" s="100" t="s">
        <v>243</v>
      </c>
      <c r="T166" s="105" t="s">
        <v>211</v>
      </c>
      <c r="U166" s="106" t="s">
        <v>195</v>
      </c>
      <c r="V166" s="97" t="s">
        <v>107</v>
      </c>
    </row>
    <row r="167" spans="1:22" ht="21" customHeight="1">
      <c r="A167" s="121" t="s">
        <v>284</v>
      </c>
      <c r="B167" s="122"/>
      <c r="C167" s="123" t="s">
        <v>282</v>
      </c>
      <c r="D167" s="182">
        <v>36235</v>
      </c>
      <c r="E167" s="183" t="s">
        <v>283</v>
      </c>
      <c r="F167" s="126">
        <v>0.4791666666666667</v>
      </c>
      <c r="G167" s="126">
        <v>0.017361111111111112</v>
      </c>
      <c r="H167" s="126">
        <f>SUM(F167:G167)</f>
        <v>0.4965277777777778</v>
      </c>
      <c r="I167" s="122"/>
      <c r="J167" s="127">
        <v>12</v>
      </c>
      <c r="K167" s="263">
        <v>4</v>
      </c>
      <c r="L167" s="122">
        <v>29</v>
      </c>
      <c r="M167" s="122">
        <v>0</v>
      </c>
      <c r="N167" s="122">
        <v>2.5</v>
      </c>
      <c r="O167" s="128">
        <f>K167*1625088/N167/(1024*1024)</f>
        <v>2.4796875</v>
      </c>
      <c r="P167" s="189">
        <f>N167*63/3600</f>
        <v>0.04375</v>
      </c>
      <c r="Q167" s="129">
        <f>O167*63/3600</f>
        <v>0.04339453124999999</v>
      </c>
      <c r="R167" s="129">
        <f>O167*42.139/3600</f>
        <v>0.02902543098958333</v>
      </c>
      <c r="S167" s="183" t="s">
        <v>243</v>
      </c>
      <c r="T167" s="130" t="s">
        <v>37</v>
      </c>
      <c r="U167" s="216" t="s">
        <v>305</v>
      </c>
      <c r="V167" s="85" t="s">
        <v>107</v>
      </c>
    </row>
    <row r="168" spans="1:22" ht="12.75">
      <c r="A168" s="193" t="s">
        <v>187</v>
      </c>
      <c r="B168" s="12">
        <v>63</v>
      </c>
      <c r="C168" s="32"/>
      <c r="D168" s="33">
        <v>36235</v>
      </c>
      <c r="E168" s="34" t="s">
        <v>283</v>
      </c>
      <c r="F168" s="35">
        <v>0.5041666666666667</v>
      </c>
      <c r="G168" s="35">
        <v>0.3368055555555556</v>
      </c>
      <c r="H168" s="36">
        <f>SUM(F168:G168)</f>
        <v>0.8409722222222222</v>
      </c>
      <c r="I168" s="37"/>
      <c r="J168" s="38"/>
      <c r="K168" s="274"/>
      <c r="L168" s="37"/>
      <c r="M168" s="37"/>
      <c r="N168" s="37"/>
      <c r="O168" s="39">
        <f>SUM(O164:O167)</f>
        <v>139.13458353750002</v>
      </c>
      <c r="P168" s="39">
        <f>SUM(P164:P167)</f>
        <v>4.838438866249063</v>
      </c>
      <c r="Q168" s="39">
        <f>SUM(Q164:Q167)</f>
        <v>2.426404155421402</v>
      </c>
      <c r="R168" s="39">
        <f>SUM(R164:R167)</f>
        <v>1.628608948801865</v>
      </c>
      <c r="S168" s="34"/>
      <c r="T168" s="39"/>
      <c r="U168" s="40"/>
      <c r="V168" s="32"/>
    </row>
    <row r="169" spans="1:22" ht="25.5">
      <c r="A169" s="85" t="s">
        <v>335</v>
      </c>
      <c r="B169" s="86"/>
      <c r="C169" s="85" t="s">
        <v>282</v>
      </c>
      <c r="D169" s="87">
        <v>36235</v>
      </c>
      <c r="E169" s="88" t="s">
        <v>283</v>
      </c>
      <c r="F169" s="89">
        <v>0.8458333333333333</v>
      </c>
      <c r="G169" s="89">
        <v>0.013888888888888888</v>
      </c>
      <c r="H169" s="90">
        <f>SUM(G169+F169)</f>
        <v>0.8597222222222222</v>
      </c>
      <c r="I169" s="89"/>
      <c r="J169" s="91">
        <v>8</v>
      </c>
      <c r="K169" s="273">
        <v>12</v>
      </c>
      <c r="L169" s="92">
        <v>18</v>
      </c>
      <c r="M169" s="92">
        <v>4</v>
      </c>
      <c r="N169" s="92">
        <v>3</v>
      </c>
      <c r="O169" s="93">
        <f>K169*1625088/N169/(1024*1024)</f>
        <v>6.19921875</v>
      </c>
      <c r="P169" s="94">
        <f>O169*126.31/3600</f>
        <v>0.21750647786458333</v>
      </c>
      <c r="Q169" s="94">
        <f>O169*63/3600</f>
        <v>0.108486328125</v>
      </c>
      <c r="R169" s="94">
        <f>O169*42.139/3600</f>
        <v>0.07256357747395835</v>
      </c>
      <c r="S169" s="88" t="s">
        <v>243</v>
      </c>
      <c r="T169" s="94" t="s">
        <v>211</v>
      </c>
      <c r="U169" s="95" t="s">
        <v>20</v>
      </c>
      <c r="V169" s="85" t="s">
        <v>107</v>
      </c>
    </row>
    <row r="170" spans="1:22" ht="36" customHeight="1">
      <c r="A170" s="42" t="s">
        <v>336</v>
      </c>
      <c r="B170" s="206"/>
      <c r="C170" s="205" t="s">
        <v>222</v>
      </c>
      <c r="D170" s="207">
        <v>36236</v>
      </c>
      <c r="E170" s="208" t="s">
        <v>125</v>
      </c>
      <c r="F170" s="209">
        <v>0.25</v>
      </c>
      <c r="G170" s="209">
        <v>0.041666666666666664</v>
      </c>
      <c r="H170" s="210">
        <f>SUM(F170:G170)</f>
        <v>0.2916666666666667</v>
      </c>
      <c r="I170" s="209"/>
      <c r="J170" s="211">
        <v>12</v>
      </c>
      <c r="K170" s="281">
        <v>120</v>
      </c>
      <c r="L170" s="212">
        <v>18</v>
      </c>
      <c r="M170" s="212">
        <v>4</v>
      </c>
      <c r="N170" s="212">
        <v>2.5</v>
      </c>
      <c r="O170" s="213">
        <f>K170*1625088/N170/(1024*1024)</f>
        <v>74.390625</v>
      </c>
      <c r="P170" s="214">
        <f>O170*126.31/3600</f>
        <v>2.6100777343750003</v>
      </c>
      <c r="Q170" s="214">
        <f>O170*63/3600</f>
        <v>1.3018359375</v>
      </c>
      <c r="R170" s="214">
        <f>O170*42.139/3600</f>
        <v>0.8707629296875</v>
      </c>
      <c r="S170" s="208" t="s">
        <v>243</v>
      </c>
      <c r="T170" s="214" t="s">
        <v>211</v>
      </c>
      <c r="U170" s="51" t="s">
        <v>189</v>
      </c>
      <c r="V170" s="205" t="s">
        <v>107</v>
      </c>
    </row>
    <row r="171" spans="1:22" ht="12.75">
      <c r="A171" s="97" t="s">
        <v>196</v>
      </c>
      <c r="B171" s="98"/>
      <c r="C171" s="97" t="s">
        <v>222</v>
      </c>
      <c r="D171" s="99">
        <v>36236</v>
      </c>
      <c r="E171" s="100" t="s">
        <v>125</v>
      </c>
      <c r="F171" s="101">
        <v>0.2708333333333333</v>
      </c>
      <c r="G171" s="101">
        <v>0.041666666666666664</v>
      </c>
      <c r="H171" s="102">
        <f>SUM(F171:G171)</f>
        <v>0.3125</v>
      </c>
      <c r="I171" s="101"/>
      <c r="J171" s="103"/>
      <c r="K171" s="278">
        <v>280</v>
      </c>
      <c r="L171" s="104">
        <v>11</v>
      </c>
      <c r="M171" s="104"/>
      <c r="N171" s="104"/>
      <c r="O171" s="107">
        <f>K171*2864/2.5/1000000</f>
        <v>0.320768</v>
      </c>
      <c r="P171" s="108">
        <f>O171*126.31/3600</f>
        <v>0.01125450168888889</v>
      </c>
      <c r="Q171" s="108">
        <f>O171*1000/17.6/3600</f>
        <v>0.005062626262626262</v>
      </c>
      <c r="R171" s="108">
        <f>O171*42.139/3600</f>
        <v>0.0037546785422222224</v>
      </c>
      <c r="S171" s="100" t="s">
        <v>243</v>
      </c>
      <c r="T171" s="105" t="s">
        <v>211</v>
      </c>
      <c r="U171" s="106" t="s">
        <v>188</v>
      </c>
      <c r="V171" s="97" t="s">
        <v>107</v>
      </c>
    </row>
    <row r="172" spans="1:22" ht="25.5">
      <c r="A172" s="85" t="s">
        <v>337</v>
      </c>
      <c r="B172" s="86"/>
      <c r="C172" s="85" t="s">
        <v>282</v>
      </c>
      <c r="D172" s="87">
        <v>36236</v>
      </c>
      <c r="E172" s="88" t="s">
        <v>125</v>
      </c>
      <c r="F172" s="89">
        <v>0.3125</v>
      </c>
      <c r="G172" s="89">
        <v>0.013888888888888888</v>
      </c>
      <c r="H172" s="90">
        <f>SUM(G172+F172)</f>
        <v>0.3263888888888889</v>
      </c>
      <c r="I172" s="89"/>
      <c r="J172" s="91">
        <v>8</v>
      </c>
      <c r="K172" s="273">
        <v>9</v>
      </c>
      <c r="L172" s="92">
        <v>18</v>
      </c>
      <c r="M172" s="92">
        <v>4</v>
      </c>
      <c r="N172" s="92">
        <v>3</v>
      </c>
      <c r="O172" s="93">
        <f>K172*1625088/N172/(1024*1024)</f>
        <v>4.6494140625</v>
      </c>
      <c r="P172" s="94">
        <f>O172*126.31/3600</f>
        <v>0.16312985839843752</v>
      </c>
      <c r="Q172" s="94">
        <f>O172*63/3600</f>
        <v>0.08136474609375</v>
      </c>
      <c r="R172" s="94">
        <f>O172*42.139/3600</f>
        <v>0.05442268310546875</v>
      </c>
      <c r="S172" s="88" t="s">
        <v>243</v>
      </c>
      <c r="T172" s="94" t="s">
        <v>211</v>
      </c>
      <c r="U172" s="95" t="s">
        <v>19</v>
      </c>
      <c r="V172" s="85" t="s">
        <v>107</v>
      </c>
    </row>
    <row r="173" spans="1:22" ht="21" customHeight="1">
      <c r="A173" s="121" t="s">
        <v>126</v>
      </c>
      <c r="B173" s="122"/>
      <c r="C173" s="123" t="s">
        <v>282</v>
      </c>
      <c r="D173" s="182">
        <v>36236</v>
      </c>
      <c r="E173" s="183" t="s">
        <v>125</v>
      </c>
      <c r="F173" s="126">
        <v>0.7291666666666666</v>
      </c>
      <c r="G173" s="126">
        <v>0.017361111111111112</v>
      </c>
      <c r="H173" s="126">
        <f>SUM(F173:G173)</f>
        <v>0.7465277777777778</v>
      </c>
      <c r="I173" s="122"/>
      <c r="J173" s="127">
        <v>12</v>
      </c>
      <c r="K173" s="263">
        <v>4</v>
      </c>
      <c r="L173" s="122">
        <v>29</v>
      </c>
      <c r="M173" s="122">
        <v>0</v>
      </c>
      <c r="N173" s="122">
        <v>2.5</v>
      </c>
      <c r="O173" s="128">
        <f>K173*1625088/N173/(1024*1024)</f>
        <v>2.4796875</v>
      </c>
      <c r="P173" s="189">
        <f>N173*63/3600</f>
        <v>0.04375</v>
      </c>
      <c r="Q173" s="129">
        <f>O173*63/3600</f>
        <v>0.04339453124999999</v>
      </c>
      <c r="R173" s="129">
        <f>O173*42.139/3600</f>
        <v>0.02902543098958333</v>
      </c>
      <c r="S173" s="183" t="s">
        <v>243</v>
      </c>
      <c r="T173" s="130" t="s">
        <v>37</v>
      </c>
      <c r="U173" s="216" t="s">
        <v>305</v>
      </c>
      <c r="V173" s="85" t="s">
        <v>107</v>
      </c>
    </row>
    <row r="174" spans="1:22" ht="25.5">
      <c r="A174" s="85" t="s">
        <v>181</v>
      </c>
      <c r="B174" s="86"/>
      <c r="C174" s="85" t="s">
        <v>282</v>
      </c>
      <c r="D174" s="87">
        <v>36236</v>
      </c>
      <c r="E174" s="88" t="s">
        <v>125</v>
      </c>
      <c r="F174" s="89">
        <v>0.75</v>
      </c>
      <c r="G174" s="89">
        <v>0.013888888888888888</v>
      </c>
      <c r="H174" s="90">
        <f>SUM(G174+F174)</f>
        <v>0.7638888888888888</v>
      </c>
      <c r="I174" s="89"/>
      <c r="J174" s="91">
        <v>8</v>
      </c>
      <c r="K174" s="273">
        <v>12</v>
      </c>
      <c r="L174" s="92">
        <v>18</v>
      </c>
      <c r="M174" s="92">
        <v>4</v>
      </c>
      <c r="N174" s="92">
        <v>3</v>
      </c>
      <c r="O174" s="93">
        <f>K174*1625088/N174/(1024*1024)</f>
        <v>6.19921875</v>
      </c>
      <c r="P174" s="94">
        <f>O174*126.31/3600</f>
        <v>0.21750647786458333</v>
      </c>
      <c r="Q174" s="94">
        <f>O174*63/3600</f>
        <v>0.108486328125</v>
      </c>
      <c r="R174" s="94">
        <f>O174*42.139/3600</f>
        <v>0.07256357747395835</v>
      </c>
      <c r="S174" s="88" t="s">
        <v>243</v>
      </c>
      <c r="T174" s="94" t="s">
        <v>211</v>
      </c>
      <c r="U174" s="95" t="s">
        <v>20</v>
      </c>
      <c r="V174" s="85" t="s">
        <v>107</v>
      </c>
    </row>
    <row r="175" spans="1:22" ht="12.75">
      <c r="A175" s="191" t="s">
        <v>35</v>
      </c>
      <c r="B175" s="52">
        <v>43</v>
      </c>
      <c r="C175" s="53"/>
      <c r="D175" s="54">
        <v>36236</v>
      </c>
      <c r="E175" s="55" t="s">
        <v>125</v>
      </c>
      <c r="F175" s="56">
        <v>0.775</v>
      </c>
      <c r="G175" s="56">
        <v>0.16666666666666666</v>
      </c>
      <c r="H175" s="57">
        <f>SUM(F175:G175)</f>
        <v>0.9416666666666667</v>
      </c>
      <c r="I175" s="58"/>
      <c r="J175" s="59"/>
      <c r="K175" s="275"/>
      <c r="L175" s="58"/>
      <c r="M175" s="58"/>
      <c r="N175" s="58"/>
      <c r="O175" s="60">
        <f>SUM(O169:O174)</f>
        <v>94.2389320625</v>
      </c>
      <c r="P175" s="60">
        <f>SUM(P169:P174)</f>
        <v>3.2632250501914934</v>
      </c>
      <c r="Q175" s="60">
        <f>SUM(Q169:Q174)</f>
        <v>1.648630497356376</v>
      </c>
      <c r="R175" s="60">
        <f>SUM(R169:R174)</f>
        <v>1.1030928772726911</v>
      </c>
      <c r="S175" s="55"/>
      <c r="T175" s="60"/>
      <c r="U175" s="61"/>
      <c r="V175" s="53"/>
    </row>
    <row r="176" spans="1:22" ht="25.5">
      <c r="A176" s="85" t="s">
        <v>338</v>
      </c>
      <c r="B176" s="86"/>
      <c r="C176" s="85" t="s">
        <v>282</v>
      </c>
      <c r="D176" s="87">
        <v>36236</v>
      </c>
      <c r="E176" s="88" t="s">
        <v>125</v>
      </c>
      <c r="F176" s="89">
        <v>0.9472222222222223</v>
      </c>
      <c r="G176" s="89">
        <v>0.013888888888888888</v>
      </c>
      <c r="H176" s="90">
        <f>SUM(G176+F176)</f>
        <v>0.9611111111111111</v>
      </c>
      <c r="I176" s="89"/>
      <c r="J176" s="91">
        <v>8</v>
      </c>
      <c r="K176" s="273">
        <v>12</v>
      </c>
      <c r="L176" s="92">
        <v>18</v>
      </c>
      <c r="M176" s="92">
        <v>4</v>
      </c>
      <c r="N176" s="92">
        <v>3</v>
      </c>
      <c r="O176" s="93">
        <f>K176*1625088/N176/(1024*1024)</f>
        <v>6.19921875</v>
      </c>
      <c r="P176" s="94">
        <f>O176*126.31/3600</f>
        <v>0.21750647786458333</v>
      </c>
      <c r="Q176" s="94">
        <f>O176*63/3600</f>
        <v>0.108486328125</v>
      </c>
      <c r="R176" s="94">
        <f>O176*42.139/3600</f>
        <v>0.07256357747395835</v>
      </c>
      <c r="S176" s="88" t="s">
        <v>243</v>
      </c>
      <c r="T176" s="94" t="s">
        <v>211</v>
      </c>
      <c r="U176" s="95" t="s">
        <v>20</v>
      </c>
      <c r="V176" s="85" t="s">
        <v>107</v>
      </c>
    </row>
    <row r="177" spans="1:22" ht="12.75">
      <c r="A177" s="22" t="s">
        <v>182</v>
      </c>
      <c r="B177" s="11"/>
      <c r="C177" s="22" t="s">
        <v>222</v>
      </c>
      <c r="D177" s="23">
        <v>36237</v>
      </c>
      <c r="E177" s="24" t="s">
        <v>17</v>
      </c>
      <c r="F177" s="25">
        <v>0.09722222222222222</v>
      </c>
      <c r="G177" s="25">
        <v>0.013888888888888888</v>
      </c>
      <c r="H177" s="26">
        <f>SUM(F177:G177)</f>
        <v>0.1111111111111111</v>
      </c>
      <c r="I177" s="25"/>
      <c r="J177" s="27">
        <v>12</v>
      </c>
      <c r="K177" s="277">
        <v>16</v>
      </c>
      <c r="L177" s="28">
        <v>24</v>
      </c>
      <c r="M177" s="28" t="s">
        <v>361</v>
      </c>
      <c r="N177" s="28">
        <v>1.2</v>
      </c>
      <c r="O177" s="29">
        <f aca="true" t="shared" si="38" ref="O177:O187">K177*1625088/N177/(1024*1024)</f>
        <v>20.6640625</v>
      </c>
      <c r="P177" s="30">
        <f aca="true" t="shared" si="39" ref="P177:P186">O177*126.31/3600</f>
        <v>0.7250215928819445</v>
      </c>
      <c r="Q177" s="30">
        <f aca="true" t="shared" si="40" ref="Q177:Q184">O177*63/3600</f>
        <v>0.36162109375</v>
      </c>
      <c r="R177" s="30">
        <f aca="true" t="shared" si="41" ref="R177:R184">O177*42.139/3600</f>
        <v>0.24187859157986114</v>
      </c>
      <c r="S177" s="24" t="s">
        <v>243</v>
      </c>
      <c r="T177" s="30" t="s">
        <v>211</v>
      </c>
      <c r="U177" s="31" t="s">
        <v>407</v>
      </c>
      <c r="V177" s="22" t="s">
        <v>107</v>
      </c>
    </row>
    <row r="178" spans="1:22" ht="12.75">
      <c r="A178" s="22"/>
      <c r="B178" s="11"/>
      <c r="C178" s="22"/>
      <c r="D178" s="23"/>
      <c r="E178" s="24"/>
      <c r="F178" s="25"/>
      <c r="G178" s="25"/>
      <c r="H178" s="26"/>
      <c r="I178" s="25"/>
      <c r="J178" s="27">
        <v>12</v>
      </c>
      <c r="K178" s="277">
        <v>20</v>
      </c>
      <c r="L178" s="28">
        <v>15</v>
      </c>
      <c r="M178" s="28" t="s">
        <v>362</v>
      </c>
      <c r="N178" s="28">
        <v>1.2</v>
      </c>
      <c r="O178" s="29">
        <f t="shared" si="38"/>
        <v>25.830078125</v>
      </c>
      <c r="P178" s="30">
        <f t="shared" si="39"/>
        <v>0.9062769911024305</v>
      </c>
      <c r="Q178" s="30">
        <f t="shared" si="40"/>
        <v>0.4520263671875</v>
      </c>
      <c r="R178" s="30">
        <f t="shared" si="41"/>
        <v>0.3023482394748264</v>
      </c>
      <c r="S178" s="24" t="s">
        <v>243</v>
      </c>
      <c r="T178" s="30" t="s">
        <v>211</v>
      </c>
      <c r="U178" s="31" t="s">
        <v>212</v>
      </c>
      <c r="V178" s="22" t="s">
        <v>107</v>
      </c>
    </row>
    <row r="179" spans="1:22" ht="12.75">
      <c r="A179" s="22" t="s">
        <v>197</v>
      </c>
      <c r="B179" s="11"/>
      <c r="C179" s="22" t="s">
        <v>222</v>
      </c>
      <c r="D179" s="23">
        <v>36237</v>
      </c>
      <c r="E179" s="24" t="s">
        <v>17</v>
      </c>
      <c r="F179" s="25">
        <v>0.11944444444444445</v>
      </c>
      <c r="G179" s="25">
        <v>0.013888888888888888</v>
      </c>
      <c r="H179" s="26">
        <f>SUM(F179:G179)</f>
        <v>0.13333333333333333</v>
      </c>
      <c r="I179" s="25"/>
      <c r="J179" s="27">
        <v>12</v>
      </c>
      <c r="K179" s="277">
        <v>32</v>
      </c>
      <c r="L179" s="28">
        <v>24</v>
      </c>
      <c r="M179" s="28" t="s">
        <v>361</v>
      </c>
      <c r="N179" s="28">
        <v>1.2</v>
      </c>
      <c r="O179" s="29">
        <f t="shared" si="38"/>
        <v>41.328125</v>
      </c>
      <c r="P179" s="30">
        <f t="shared" si="39"/>
        <v>1.450043185763889</v>
      </c>
      <c r="Q179" s="30">
        <f t="shared" si="40"/>
        <v>0.7232421875</v>
      </c>
      <c r="R179" s="30">
        <f t="shared" si="41"/>
        <v>0.48375718315972227</v>
      </c>
      <c r="S179" s="24" t="s">
        <v>243</v>
      </c>
      <c r="T179" s="30" t="s">
        <v>211</v>
      </c>
      <c r="U179" s="31" t="s">
        <v>198</v>
      </c>
      <c r="V179" s="22" t="s">
        <v>107</v>
      </c>
    </row>
    <row r="180" spans="1:22" ht="12.75">
      <c r="A180" s="22"/>
      <c r="B180" s="11"/>
      <c r="C180" s="22"/>
      <c r="D180" s="23"/>
      <c r="E180" s="24"/>
      <c r="F180" s="25"/>
      <c r="G180" s="25"/>
      <c r="H180" s="26"/>
      <c r="I180" s="25"/>
      <c r="J180" s="27">
        <v>12</v>
      </c>
      <c r="K180" s="277">
        <v>40</v>
      </c>
      <c r="L180" s="28">
        <v>15</v>
      </c>
      <c r="M180" s="28" t="s">
        <v>362</v>
      </c>
      <c r="N180" s="28">
        <v>1.2</v>
      </c>
      <c r="O180" s="29">
        <f t="shared" si="38"/>
        <v>51.66015625</v>
      </c>
      <c r="P180" s="30">
        <f t="shared" si="39"/>
        <v>1.812553982204861</v>
      </c>
      <c r="Q180" s="30">
        <f t="shared" si="40"/>
        <v>0.904052734375</v>
      </c>
      <c r="R180" s="30">
        <f t="shared" si="41"/>
        <v>0.6046964789496528</v>
      </c>
      <c r="S180" s="24" t="s">
        <v>243</v>
      </c>
      <c r="T180" s="30" t="s">
        <v>211</v>
      </c>
      <c r="U180" s="31" t="s">
        <v>212</v>
      </c>
      <c r="V180" s="22" t="s">
        <v>107</v>
      </c>
    </row>
    <row r="181" spans="1:22" ht="12.75">
      <c r="A181" s="22" t="s">
        <v>183</v>
      </c>
      <c r="B181" s="11"/>
      <c r="C181" s="22" t="s">
        <v>222</v>
      </c>
      <c r="D181" s="23">
        <v>36237</v>
      </c>
      <c r="E181" s="24" t="s">
        <v>17</v>
      </c>
      <c r="F181" s="25">
        <v>0.16597222222222222</v>
      </c>
      <c r="G181" s="25">
        <v>0.013888888888888888</v>
      </c>
      <c r="H181" s="26">
        <f>SUM(F181:G181)</f>
        <v>0.1798611111111111</v>
      </c>
      <c r="I181" s="25"/>
      <c r="J181" s="27">
        <v>12</v>
      </c>
      <c r="K181" s="277">
        <v>24</v>
      </c>
      <c r="L181" s="28">
        <v>24</v>
      </c>
      <c r="M181" s="28" t="s">
        <v>361</v>
      </c>
      <c r="N181" s="28">
        <v>1.2</v>
      </c>
      <c r="O181" s="29">
        <f t="shared" si="38"/>
        <v>30.99609375</v>
      </c>
      <c r="P181" s="30">
        <f t="shared" si="39"/>
        <v>1.0875323893229167</v>
      </c>
      <c r="Q181" s="30">
        <f t="shared" si="40"/>
        <v>0.542431640625</v>
      </c>
      <c r="R181" s="30">
        <f t="shared" si="41"/>
        <v>0.3628178873697917</v>
      </c>
      <c r="S181" s="24" t="s">
        <v>243</v>
      </c>
      <c r="T181" s="30" t="s">
        <v>211</v>
      </c>
      <c r="U181" s="31" t="s">
        <v>177</v>
      </c>
      <c r="V181" s="22" t="s">
        <v>107</v>
      </c>
    </row>
    <row r="182" spans="1:22" ht="12.75">
      <c r="A182" s="22"/>
      <c r="B182" s="11"/>
      <c r="C182" s="22"/>
      <c r="D182" s="23"/>
      <c r="E182" s="24"/>
      <c r="F182" s="25"/>
      <c r="G182" s="25"/>
      <c r="H182" s="26"/>
      <c r="I182" s="25"/>
      <c r="J182" s="27">
        <v>12</v>
      </c>
      <c r="K182" s="277">
        <v>30</v>
      </c>
      <c r="L182" s="28">
        <v>15</v>
      </c>
      <c r="M182" s="28" t="s">
        <v>362</v>
      </c>
      <c r="N182" s="28">
        <v>1.2</v>
      </c>
      <c r="O182" s="29">
        <f t="shared" si="38"/>
        <v>38.7451171875</v>
      </c>
      <c r="P182" s="30">
        <f t="shared" si="39"/>
        <v>1.3594154866536459</v>
      </c>
      <c r="Q182" s="30">
        <f t="shared" si="40"/>
        <v>0.67803955078125</v>
      </c>
      <c r="R182" s="30">
        <f t="shared" si="41"/>
        <v>0.45352235921223966</v>
      </c>
      <c r="S182" s="24" t="s">
        <v>243</v>
      </c>
      <c r="T182" s="30" t="s">
        <v>211</v>
      </c>
      <c r="U182" s="31" t="s">
        <v>212</v>
      </c>
      <c r="V182" s="22" t="s">
        <v>107</v>
      </c>
    </row>
    <row r="183" spans="1:22" ht="12.75">
      <c r="A183" s="22" t="s">
        <v>184</v>
      </c>
      <c r="B183" s="11"/>
      <c r="C183" s="22" t="s">
        <v>222</v>
      </c>
      <c r="D183" s="23">
        <v>36237</v>
      </c>
      <c r="E183" s="24" t="s">
        <v>17</v>
      </c>
      <c r="F183" s="25">
        <v>0.19930555555555554</v>
      </c>
      <c r="G183" s="25">
        <v>0.013888888888888888</v>
      </c>
      <c r="H183" s="26">
        <f>SUM(F183:G183)</f>
        <v>0.21319444444444444</v>
      </c>
      <c r="I183" s="25"/>
      <c r="J183" s="27">
        <v>12</v>
      </c>
      <c r="K183" s="277">
        <v>36</v>
      </c>
      <c r="L183" s="28">
        <v>24</v>
      </c>
      <c r="M183" s="28" t="s">
        <v>361</v>
      </c>
      <c r="N183" s="28">
        <v>1.2</v>
      </c>
      <c r="O183" s="29">
        <f t="shared" si="38"/>
        <v>46.494140625</v>
      </c>
      <c r="P183" s="30">
        <f t="shared" si="39"/>
        <v>1.6312985839843752</v>
      </c>
      <c r="Q183" s="30">
        <f t="shared" si="40"/>
        <v>0.8136474609375</v>
      </c>
      <c r="R183" s="30">
        <f t="shared" si="41"/>
        <v>0.5442268310546875</v>
      </c>
      <c r="S183" s="24" t="s">
        <v>243</v>
      </c>
      <c r="T183" s="30" t="s">
        <v>211</v>
      </c>
      <c r="U183" s="31" t="s">
        <v>408</v>
      </c>
      <c r="V183" s="22" t="s">
        <v>107</v>
      </c>
    </row>
    <row r="184" spans="1:22" ht="12.75">
      <c r="A184" s="22"/>
      <c r="B184" s="11"/>
      <c r="C184" s="22"/>
      <c r="D184" s="23"/>
      <c r="E184" s="24"/>
      <c r="F184" s="25"/>
      <c r="G184" s="25"/>
      <c r="H184" s="26"/>
      <c r="I184" s="25"/>
      <c r="J184" s="27">
        <v>12</v>
      </c>
      <c r="K184" s="277">
        <v>45</v>
      </c>
      <c r="L184" s="28">
        <v>15</v>
      </c>
      <c r="M184" s="28" t="s">
        <v>362</v>
      </c>
      <c r="N184" s="28">
        <v>1.2</v>
      </c>
      <c r="O184" s="29">
        <f t="shared" si="38"/>
        <v>58.11767578125</v>
      </c>
      <c r="P184" s="30">
        <f t="shared" si="39"/>
        <v>2.039123229980469</v>
      </c>
      <c r="Q184" s="30">
        <f t="shared" si="40"/>
        <v>1.017059326171875</v>
      </c>
      <c r="R184" s="30">
        <f t="shared" si="41"/>
        <v>0.6802835388183595</v>
      </c>
      <c r="S184" s="24" t="s">
        <v>243</v>
      </c>
      <c r="T184" s="30" t="s">
        <v>211</v>
      </c>
      <c r="U184" s="31" t="s">
        <v>212</v>
      </c>
      <c r="V184" s="22" t="s">
        <v>107</v>
      </c>
    </row>
    <row r="185" spans="1:22" ht="12.75">
      <c r="A185" s="22" t="s">
        <v>199</v>
      </c>
      <c r="B185" s="11"/>
      <c r="C185" s="22" t="s">
        <v>222</v>
      </c>
      <c r="D185" s="23">
        <v>36237</v>
      </c>
      <c r="E185" s="24" t="s">
        <v>17</v>
      </c>
      <c r="F185" s="25">
        <v>0.2513888888888889</v>
      </c>
      <c r="G185" s="25">
        <v>0.013888888888888888</v>
      </c>
      <c r="H185" s="26">
        <f>SUM(F185:G185)</f>
        <v>0.2652777777777778</v>
      </c>
      <c r="I185" s="25"/>
      <c r="J185" s="27">
        <v>12</v>
      </c>
      <c r="K185" s="277">
        <v>36</v>
      </c>
      <c r="L185" s="28">
        <v>24</v>
      </c>
      <c r="M185" s="28" t="s">
        <v>361</v>
      </c>
      <c r="N185" s="28">
        <v>1.2</v>
      </c>
      <c r="O185" s="29">
        <f>K185*1625088/N185/(1024*1024)</f>
        <v>46.494140625</v>
      </c>
      <c r="P185" s="30">
        <f t="shared" si="39"/>
        <v>1.6312985839843752</v>
      </c>
      <c r="Q185" s="30">
        <f>O185*63/3600</f>
        <v>0.8136474609375</v>
      </c>
      <c r="R185" s="30">
        <f>O185*42.139/3600</f>
        <v>0.5442268310546875</v>
      </c>
      <c r="S185" s="24" t="s">
        <v>243</v>
      </c>
      <c r="T185" s="30" t="s">
        <v>211</v>
      </c>
      <c r="U185" s="31" t="s">
        <v>408</v>
      </c>
      <c r="V185" s="22" t="s">
        <v>107</v>
      </c>
    </row>
    <row r="186" spans="1:22" ht="12.75">
      <c r="A186" s="22"/>
      <c r="B186" s="11"/>
      <c r="C186" s="22"/>
      <c r="D186" s="23"/>
      <c r="E186" s="24"/>
      <c r="F186" s="25"/>
      <c r="G186" s="25"/>
      <c r="H186" s="26"/>
      <c r="I186" s="25"/>
      <c r="J186" s="27">
        <v>12</v>
      </c>
      <c r="K186" s="277">
        <v>45</v>
      </c>
      <c r="L186" s="28">
        <v>15</v>
      </c>
      <c r="M186" s="28" t="s">
        <v>362</v>
      </c>
      <c r="N186" s="28">
        <v>1.2</v>
      </c>
      <c r="O186" s="29">
        <f>K186*1625088/N186/(1024*1024)</f>
        <v>58.11767578125</v>
      </c>
      <c r="P186" s="30">
        <f t="shared" si="39"/>
        <v>2.039123229980469</v>
      </c>
      <c r="Q186" s="30">
        <f>O186*63/3600</f>
        <v>1.017059326171875</v>
      </c>
      <c r="R186" s="30">
        <f>O186*42.139/3600</f>
        <v>0.6802835388183595</v>
      </c>
      <c r="S186" s="24" t="s">
        <v>243</v>
      </c>
      <c r="T186" s="30" t="s">
        <v>211</v>
      </c>
      <c r="U186" s="31" t="s">
        <v>212</v>
      </c>
      <c r="V186" s="22" t="s">
        <v>107</v>
      </c>
    </row>
    <row r="187" spans="1:22" ht="24" customHeight="1">
      <c r="A187" s="205" t="s">
        <v>339</v>
      </c>
      <c r="B187" s="206"/>
      <c r="C187" s="205" t="s">
        <v>222</v>
      </c>
      <c r="D187" s="207">
        <v>36237</v>
      </c>
      <c r="E187" s="208" t="s">
        <v>17</v>
      </c>
      <c r="F187" s="209">
        <v>0.3125</v>
      </c>
      <c r="G187" s="209">
        <v>0.23263888888888887</v>
      </c>
      <c r="H187" s="210">
        <f>SUM(F187:G187)</f>
        <v>0.5451388888888888</v>
      </c>
      <c r="I187" s="209"/>
      <c r="J187" s="211">
        <v>12</v>
      </c>
      <c r="K187" s="281">
        <v>288</v>
      </c>
      <c r="L187" s="212">
        <v>18</v>
      </c>
      <c r="M187" s="212">
        <v>4</v>
      </c>
      <c r="N187" s="212">
        <v>2.5</v>
      </c>
      <c r="O187" s="213">
        <f t="shared" si="38"/>
        <v>178.5375</v>
      </c>
      <c r="P187" s="214">
        <f>O187*126.31/3600</f>
        <v>6.2641865625</v>
      </c>
      <c r="Q187" s="214">
        <f>O187*63/3600</f>
        <v>3.12440625</v>
      </c>
      <c r="R187" s="214">
        <f>O187*42.139/3600</f>
        <v>2.08983103125</v>
      </c>
      <c r="S187" s="208" t="s">
        <v>243</v>
      </c>
      <c r="T187" s="214" t="s">
        <v>211</v>
      </c>
      <c r="U187" s="215" t="s">
        <v>163</v>
      </c>
      <c r="V187" s="205" t="s">
        <v>107</v>
      </c>
    </row>
    <row r="188" spans="1:22" ht="21" customHeight="1">
      <c r="A188" s="121" t="s">
        <v>18</v>
      </c>
      <c r="B188" s="122"/>
      <c r="C188" s="123" t="s">
        <v>282</v>
      </c>
      <c r="D188" s="182">
        <v>36237</v>
      </c>
      <c r="E188" s="183" t="s">
        <v>17</v>
      </c>
      <c r="F188" s="126">
        <v>0.5416666666666666</v>
      </c>
      <c r="G188" s="126">
        <v>0.017361111111111112</v>
      </c>
      <c r="H188" s="126">
        <f>SUM(F188:G188)</f>
        <v>0.5590277777777778</v>
      </c>
      <c r="I188" s="122"/>
      <c r="J188" s="127">
        <v>12</v>
      </c>
      <c r="K188" s="263">
        <v>4</v>
      </c>
      <c r="L188" s="122">
        <v>29</v>
      </c>
      <c r="M188" s="122">
        <v>0</v>
      </c>
      <c r="N188" s="122">
        <v>2.5</v>
      </c>
      <c r="O188" s="128">
        <f>K188*1625088/N188/(1024*1024)</f>
        <v>2.4796875</v>
      </c>
      <c r="P188" s="189">
        <f>N188*63/3600</f>
        <v>0.04375</v>
      </c>
      <c r="Q188" s="129">
        <f>O188*63/3600</f>
        <v>0.04339453124999999</v>
      </c>
      <c r="R188" s="129">
        <f>O188*42.139/3600</f>
        <v>0.02902543098958333</v>
      </c>
      <c r="S188" s="183" t="s">
        <v>243</v>
      </c>
      <c r="T188" s="130" t="s">
        <v>37</v>
      </c>
      <c r="U188" s="216" t="s">
        <v>305</v>
      </c>
      <c r="V188" s="85" t="s">
        <v>107</v>
      </c>
    </row>
    <row r="189" spans="1:22" ht="25.5">
      <c r="A189" s="85" t="s">
        <v>340</v>
      </c>
      <c r="B189" s="86"/>
      <c r="C189" s="85" t="s">
        <v>282</v>
      </c>
      <c r="D189" s="87">
        <v>36237</v>
      </c>
      <c r="E189" s="88" t="s">
        <v>17</v>
      </c>
      <c r="F189" s="89">
        <v>0.5625</v>
      </c>
      <c r="G189" s="89">
        <v>0.013888888888888888</v>
      </c>
      <c r="H189" s="90">
        <f>SUM(G189+F189)</f>
        <v>0.5763888888888888</v>
      </c>
      <c r="I189" s="89"/>
      <c r="J189" s="91">
        <v>8</v>
      </c>
      <c r="K189" s="273">
        <v>12</v>
      </c>
      <c r="L189" s="92">
        <v>18</v>
      </c>
      <c r="M189" s="92">
        <v>4</v>
      </c>
      <c r="N189" s="92">
        <v>3</v>
      </c>
      <c r="O189" s="93">
        <f>K189*1625088/N189/(1024*1024)</f>
        <v>6.19921875</v>
      </c>
      <c r="P189" s="94">
        <f>O189*126.31/3600</f>
        <v>0.21750647786458333</v>
      </c>
      <c r="Q189" s="94">
        <f>O189*63/3600</f>
        <v>0.108486328125</v>
      </c>
      <c r="R189" s="94">
        <f>O189*42.139/3600</f>
        <v>0.07256357747395835</v>
      </c>
      <c r="S189" s="88" t="s">
        <v>243</v>
      </c>
      <c r="T189" s="94" t="s">
        <v>211</v>
      </c>
      <c r="U189" s="95" t="s">
        <v>20</v>
      </c>
      <c r="V189" s="85" t="s">
        <v>107</v>
      </c>
    </row>
    <row r="190" spans="1:22" ht="12.75">
      <c r="A190" s="191" t="s">
        <v>35</v>
      </c>
      <c r="B190" s="52">
        <v>43</v>
      </c>
      <c r="C190" s="53"/>
      <c r="D190" s="54">
        <v>36237</v>
      </c>
      <c r="E190" s="55" t="s">
        <v>17</v>
      </c>
      <c r="F190" s="56">
        <v>0.5875</v>
      </c>
      <c r="G190" s="56">
        <v>0.34375</v>
      </c>
      <c r="H190" s="57">
        <f>SUM(F190:G190)</f>
        <v>0.93125</v>
      </c>
      <c r="I190" s="58"/>
      <c r="J190" s="59"/>
      <c r="K190" s="275"/>
      <c r="L190" s="58"/>
      <c r="M190" s="58"/>
      <c r="N190" s="58"/>
      <c r="O190" s="60">
        <f>SUM(O176:O189)</f>
        <v>611.862890625</v>
      </c>
      <c r="P190" s="60">
        <f>SUM(P176:P189)</f>
        <v>21.424636774088537</v>
      </c>
      <c r="Q190" s="60">
        <f>SUM(Q176:Q189)</f>
        <v>10.7076005859375</v>
      </c>
      <c r="R190" s="60">
        <f>SUM(R176:R189)</f>
        <v>7.162025096679688</v>
      </c>
      <c r="S190" s="55"/>
      <c r="T190" s="60"/>
      <c r="U190" s="61"/>
      <c r="V190" s="53"/>
    </row>
    <row r="191" spans="1:22" ht="25.5">
      <c r="A191" s="85" t="s">
        <v>341</v>
      </c>
      <c r="B191" s="86"/>
      <c r="C191" s="85" t="s">
        <v>282</v>
      </c>
      <c r="D191" s="87">
        <v>36237</v>
      </c>
      <c r="E191" s="88" t="s">
        <v>17</v>
      </c>
      <c r="F191" s="89">
        <v>0.9402777777777778</v>
      </c>
      <c r="G191" s="89">
        <v>0.013888888888888888</v>
      </c>
      <c r="H191" s="90">
        <f>SUM(G191+F191)</f>
        <v>0.9541666666666666</v>
      </c>
      <c r="I191" s="89"/>
      <c r="J191" s="91">
        <v>8</v>
      </c>
      <c r="K191" s="273">
        <v>12</v>
      </c>
      <c r="L191" s="92">
        <v>18</v>
      </c>
      <c r="M191" s="92">
        <v>4</v>
      </c>
      <c r="N191" s="92">
        <v>3</v>
      </c>
      <c r="O191" s="93">
        <f>K191*1625088/N191/(1024*1024)</f>
        <v>6.19921875</v>
      </c>
      <c r="P191" s="94">
        <f>O191*126.31/3600</f>
        <v>0.21750647786458333</v>
      </c>
      <c r="Q191" s="94">
        <f>O191*63/3600</f>
        <v>0.108486328125</v>
      </c>
      <c r="R191" s="94">
        <f>O191*42.139/3600</f>
        <v>0.07256357747395835</v>
      </c>
      <c r="S191" s="88" t="s">
        <v>243</v>
      </c>
      <c r="T191" s="94" t="s">
        <v>211</v>
      </c>
      <c r="U191" s="95" t="s">
        <v>20</v>
      </c>
      <c r="V191" s="85" t="s">
        <v>107</v>
      </c>
    </row>
    <row r="192" spans="1:22" ht="24.75" customHeight="1">
      <c r="A192" s="42" t="s">
        <v>200</v>
      </c>
      <c r="B192" s="41"/>
      <c r="C192" s="42" t="s">
        <v>222</v>
      </c>
      <c r="D192" s="43">
        <v>36604</v>
      </c>
      <c r="E192" s="44" t="s">
        <v>114</v>
      </c>
      <c r="F192" s="45">
        <v>0.125</v>
      </c>
      <c r="G192" s="45">
        <v>0.16319444444444445</v>
      </c>
      <c r="H192" s="46">
        <f>SUM(F192:G192)</f>
        <v>0.2881944444444444</v>
      </c>
      <c r="I192" s="45"/>
      <c r="J192" s="47">
        <v>8</v>
      </c>
      <c r="K192" s="272">
        <v>500</v>
      </c>
      <c r="L192" s="48">
        <v>1</v>
      </c>
      <c r="M192" s="48">
        <v>4</v>
      </c>
      <c r="N192" s="48">
        <v>3</v>
      </c>
      <c r="O192" s="49">
        <f>K192*1625088/N192/(1024*1024)</f>
        <v>258.30078125</v>
      </c>
      <c r="P192" s="50">
        <f>O192*126.31/3600</f>
        <v>9.062769911024306</v>
      </c>
      <c r="Q192" s="50">
        <f>O192*63/3600</f>
        <v>4.520263671875</v>
      </c>
      <c r="R192" s="50">
        <f>O192*42.139/3600</f>
        <v>3.023482394748264</v>
      </c>
      <c r="S192" s="44" t="s">
        <v>243</v>
      </c>
      <c r="T192" s="50" t="s">
        <v>211</v>
      </c>
      <c r="U192" s="51" t="s">
        <v>185</v>
      </c>
      <c r="V192" s="42" t="s">
        <v>107</v>
      </c>
    </row>
    <row r="193" spans="1:22" ht="12.75">
      <c r="A193" s="97" t="s">
        <v>164</v>
      </c>
      <c r="B193" s="98"/>
      <c r="C193" s="97" t="s">
        <v>222</v>
      </c>
      <c r="D193" s="99">
        <v>36238</v>
      </c>
      <c r="E193" s="100" t="s">
        <v>114</v>
      </c>
      <c r="F193" s="101">
        <v>0.125</v>
      </c>
      <c r="G193" s="101">
        <v>0.16319444444444445</v>
      </c>
      <c r="H193" s="102">
        <f>SUM(F193:G193)</f>
        <v>0.2881944444444444</v>
      </c>
      <c r="I193" s="101"/>
      <c r="J193" s="103"/>
      <c r="K193" s="278">
        <v>840</v>
      </c>
      <c r="L193" s="104">
        <v>8</v>
      </c>
      <c r="M193" s="104"/>
      <c r="N193" s="104"/>
      <c r="O193" s="107">
        <f>K193*2864/2.5/1000000</f>
        <v>0.962304</v>
      </c>
      <c r="P193" s="108">
        <f>O193*126.31/3600</f>
        <v>0.03376350506666667</v>
      </c>
      <c r="Q193" s="108">
        <f>O193*1000/17.6/3600</f>
        <v>0.015187878787878788</v>
      </c>
      <c r="R193" s="108">
        <f>O193*42.139/3600</f>
        <v>0.011264035626666669</v>
      </c>
      <c r="S193" s="100" t="s">
        <v>243</v>
      </c>
      <c r="T193" s="105" t="s">
        <v>211</v>
      </c>
      <c r="U193" s="106" t="s">
        <v>165</v>
      </c>
      <c r="V193" s="97" t="s">
        <v>107</v>
      </c>
    </row>
    <row r="194" spans="1:22" ht="25.5">
      <c r="A194" s="85" t="s">
        <v>342</v>
      </c>
      <c r="B194" s="86"/>
      <c r="C194" s="85" t="s">
        <v>282</v>
      </c>
      <c r="D194" s="87">
        <v>36238</v>
      </c>
      <c r="E194" s="88" t="s">
        <v>114</v>
      </c>
      <c r="F194" s="89">
        <v>0.2916666666666667</v>
      </c>
      <c r="G194" s="89">
        <v>0.013888888888888888</v>
      </c>
      <c r="H194" s="90">
        <f>SUM(G194+F194)</f>
        <v>0.3055555555555556</v>
      </c>
      <c r="I194" s="89"/>
      <c r="J194" s="91">
        <v>8</v>
      </c>
      <c r="K194" s="273">
        <v>12</v>
      </c>
      <c r="L194" s="92">
        <v>18</v>
      </c>
      <c r="M194" s="92">
        <v>4</v>
      </c>
      <c r="N194" s="92">
        <v>3</v>
      </c>
      <c r="O194" s="93">
        <f>K194*1625088/N194/(1024*1024)</f>
        <v>6.19921875</v>
      </c>
      <c r="P194" s="94">
        <f>O194*126.31/3600</f>
        <v>0.21750647786458333</v>
      </c>
      <c r="Q194" s="94">
        <f>O194*63/3600</f>
        <v>0.108486328125</v>
      </c>
      <c r="R194" s="94">
        <f>O194*42.139/3600</f>
        <v>0.07256357747395835</v>
      </c>
      <c r="S194" s="88" t="s">
        <v>243</v>
      </c>
      <c r="T194" s="94" t="s">
        <v>211</v>
      </c>
      <c r="U194" s="95" t="s">
        <v>20</v>
      </c>
      <c r="V194" s="85" t="s">
        <v>107</v>
      </c>
    </row>
    <row r="195" spans="1:22" ht="12.75">
      <c r="A195" s="22" t="s">
        <v>343</v>
      </c>
      <c r="B195" s="11"/>
      <c r="C195" s="22" t="s">
        <v>222</v>
      </c>
      <c r="D195" s="23">
        <v>36238</v>
      </c>
      <c r="E195" s="24" t="s">
        <v>114</v>
      </c>
      <c r="F195" s="25">
        <v>0.37847222222222227</v>
      </c>
      <c r="G195" s="25">
        <v>0.013888888888888888</v>
      </c>
      <c r="H195" s="26">
        <f>SUM(F195:G195)</f>
        <v>0.39236111111111116</v>
      </c>
      <c r="I195" s="25"/>
      <c r="J195" s="27">
        <v>12</v>
      </c>
      <c r="K195" s="277">
        <v>12</v>
      </c>
      <c r="L195" s="28">
        <v>24</v>
      </c>
      <c r="M195" s="28" t="s">
        <v>361</v>
      </c>
      <c r="N195" s="28">
        <v>1.2</v>
      </c>
      <c r="O195" s="29">
        <f aca="true" t="shared" si="42" ref="O195:O202">K195*1625088/N195/(1024*1024)</f>
        <v>15.498046875</v>
      </c>
      <c r="P195" s="30">
        <f aca="true" t="shared" si="43" ref="P195:P204">O195*126.31/3600</f>
        <v>0.5437661946614584</v>
      </c>
      <c r="Q195" s="30">
        <f aca="true" t="shared" si="44" ref="Q195:Q202">O195*63/3600</f>
        <v>0.2712158203125</v>
      </c>
      <c r="R195" s="30">
        <f aca="true" t="shared" si="45" ref="R195:R202">O195*42.139/3600</f>
        <v>0.18140894368489585</v>
      </c>
      <c r="S195" s="24" t="s">
        <v>243</v>
      </c>
      <c r="T195" s="30" t="s">
        <v>211</v>
      </c>
      <c r="U195" s="31" t="s">
        <v>176</v>
      </c>
      <c r="V195" s="22" t="s">
        <v>107</v>
      </c>
    </row>
    <row r="196" spans="1:22" ht="12.75">
      <c r="A196" s="22"/>
      <c r="B196" s="11"/>
      <c r="C196" s="22"/>
      <c r="D196" s="23"/>
      <c r="E196" s="24"/>
      <c r="F196" s="25"/>
      <c r="G196" s="25"/>
      <c r="H196" s="26"/>
      <c r="I196" s="25"/>
      <c r="J196" s="27">
        <v>12</v>
      </c>
      <c r="K196" s="277">
        <v>15</v>
      </c>
      <c r="L196" s="28">
        <v>15</v>
      </c>
      <c r="M196" s="28" t="s">
        <v>362</v>
      </c>
      <c r="N196" s="28">
        <v>1.2</v>
      </c>
      <c r="O196" s="29">
        <f t="shared" si="42"/>
        <v>19.37255859375</v>
      </c>
      <c r="P196" s="30">
        <f t="shared" si="43"/>
        <v>0.6797077433268229</v>
      </c>
      <c r="Q196" s="30">
        <f t="shared" si="44"/>
        <v>0.339019775390625</v>
      </c>
      <c r="R196" s="30">
        <f t="shared" si="45"/>
        <v>0.22676117960611983</v>
      </c>
      <c r="S196" s="24" t="s">
        <v>243</v>
      </c>
      <c r="T196" s="30" t="s">
        <v>211</v>
      </c>
      <c r="U196" s="31" t="s">
        <v>212</v>
      </c>
      <c r="V196" s="22" t="s">
        <v>107</v>
      </c>
    </row>
    <row r="197" spans="1:22" ht="12.75">
      <c r="A197" s="22" t="s">
        <v>344</v>
      </c>
      <c r="B197" s="11"/>
      <c r="C197" s="22" t="s">
        <v>222</v>
      </c>
      <c r="D197" s="23">
        <v>36238</v>
      </c>
      <c r="E197" s="24" t="s">
        <v>114</v>
      </c>
      <c r="F197" s="25">
        <v>0.46875</v>
      </c>
      <c r="G197" s="25">
        <v>0.013888888888888888</v>
      </c>
      <c r="H197" s="26">
        <f>SUM(F197:G197)</f>
        <v>0.4826388888888889</v>
      </c>
      <c r="I197" s="25"/>
      <c r="J197" s="27">
        <v>12</v>
      </c>
      <c r="K197" s="277">
        <v>16</v>
      </c>
      <c r="L197" s="28">
        <v>24</v>
      </c>
      <c r="M197" s="28" t="s">
        <v>361</v>
      </c>
      <c r="N197" s="28">
        <v>1.2</v>
      </c>
      <c r="O197" s="29">
        <f t="shared" si="42"/>
        <v>20.6640625</v>
      </c>
      <c r="P197" s="30">
        <f t="shared" si="43"/>
        <v>0.7250215928819445</v>
      </c>
      <c r="Q197" s="30">
        <f t="shared" si="44"/>
        <v>0.36162109375</v>
      </c>
      <c r="R197" s="30">
        <f t="shared" si="45"/>
        <v>0.24187859157986114</v>
      </c>
      <c r="S197" s="24" t="s">
        <v>243</v>
      </c>
      <c r="T197" s="30" t="s">
        <v>211</v>
      </c>
      <c r="U197" s="31" t="s">
        <v>179</v>
      </c>
      <c r="V197" s="22" t="s">
        <v>107</v>
      </c>
    </row>
    <row r="198" spans="1:22" ht="12.75" customHeight="1">
      <c r="A198" s="22"/>
      <c r="B198" s="11"/>
      <c r="C198" s="22"/>
      <c r="D198" s="23"/>
      <c r="E198" s="24"/>
      <c r="F198" s="25"/>
      <c r="G198" s="25"/>
      <c r="H198" s="26"/>
      <c r="I198" s="25"/>
      <c r="J198" s="27">
        <v>12</v>
      </c>
      <c r="K198" s="277">
        <v>20</v>
      </c>
      <c r="L198" s="28">
        <v>15</v>
      </c>
      <c r="M198" s="28" t="s">
        <v>362</v>
      </c>
      <c r="N198" s="28">
        <v>1.2</v>
      </c>
      <c r="O198" s="29">
        <f t="shared" si="42"/>
        <v>25.830078125</v>
      </c>
      <c r="P198" s="30">
        <f t="shared" si="43"/>
        <v>0.9062769911024305</v>
      </c>
      <c r="Q198" s="30">
        <f t="shared" si="44"/>
        <v>0.4520263671875</v>
      </c>
      <c r="R198" s="30">
        <f t="shared" si="45"/>
        <v>0.3023482394748264</v>
      </c>
      <c r="S198" s="24" t="s">
        <v>243</v>
      </c>
      <c r="T198" s="30" t="s">
        <v>211</v>
      </c>
      <c r="U198" s="31" t="s">
        <v>212</v>
      </c>
      <c r="V198" s="22" t="s">
        <v>107</v>
      </c>
    </row>
    <row r="199" spans="1:22" ht="12.75">
      <c r="A199" s="22" t="s">
        <v>345</v>
      </c>
      <c r="B199" s="11"/>
      <c r="C199" s="22" t="s">
        <v>222</v>
      </c>
      <c r="D199" s="23">
        <v>36238</v>
      </c>
      <c r="E199" s="24" t="s">
        <v>114</v>
      </c>
      <c r="F199" s="25">
        <v>0.4861111111111111</v>
      </c>
      <c r="G199" s="25">
        <v>0.013888888888888888</v>
      </c>
      <c r="H199" s="26">
        <f>SUM(F199:G199)</f>
        <v>0.5</v>
      </c>
      <c r="I199" s="25"/>
      <c r="J199" s="27">
        <v>12</v>
      </c>
      <c r="K199" s="277">
        <v>16</v>
      </c>
      <c r="L199" s="28">
        <v>24</v>
      </c>
      <c r="M199" s="28" t="s">
        <v>361</v>
      </c>
      <c r="N199" s="28">
        <v>1.2</v>
      </c>
      <c r="O199" s="29">
        <f>K199*1625088/N199/(1024*1024)</f>
        <v>20.6640625</v>
      </c>
      <c r="P199" s="30">
        <f t="shared" si="43"/>
        <v>0.7250215928819445</v>
      </c>
      <c r="Q199" s="30">
        <f>O199*63/3600</f>
        <v>0.36162109375</v>
      </c>
      <c r="R199" s="30">
        <f>O199*42.139/3600</f>
        <v>0.24187859157986114</v>
      </c>
      <c r="S199" s="24" t="s">
        <v>243</v>
      </c>
      <c r="T199" s="30" t="s">
        <v>211</v>
      </c>
      <c r="U199" s="31" t="s">
        <v>178</v>
      </c>
      <c r="V199" s="22" t="s">
        <v>107</v>
      </c>
    </row>
    <row r="200" spans="1:22" ht="12.75">
      <c r="A200" s="22"/>
      <c r="B200" s="11"/>
      <c r="C200" s="22"/>
      <c r="D200" s="23"/>
      <c r="E200" s="24"/>
      <c r="F200" s="25"/>
      <c r="G200" s="25"/>
      <c r="H200" s="26"/>
      <c r="I200" s="25"/>
      <c r="J200" s="27">
        <v>12</v>
      </c>
      <c r="K200" s="277">
        <v>20</v>
      </c>
      <c r="L200" s="28">
        <v>15</v>
      </c>
      <c r="M200" s="28" t="s">
        <v>362</v>
      </c>
      <c r="N200" s="28">
        <v>1.2</v>
      </c>
      <c r="O200" s="29">
        <f>K200*1625088/N200/(1024*1024)</f>
        <v>25.830078125</v>
      </c>
      <c r="P200" s="30">
        <f t="shared" si="43"/>
        <v>0.9062769911024305</v>
      </c>
      <c r="Q200" s="30">
        <f>O200*63/3600</f>
        <v>0.4520263671875</v>
      </c>
      <c r="R200" s="30">
        <f>O200*42.139/3600</f>
        <v>0.3023482394748264</v>
      </c>
      <c r="S200" s="24" t="s">
        <v>243</v>
      </c>
      <c r="T200" s="30" t="s">
        <v>211</v>
      </c>
      <c r="U200" s="31" t="s">
        <v>212</v>
      </c>
      <c r="V200" s="22" t="s">
        <v>107</v>
      </c>
    </row>
    <row r="201" spans="1:22" ht="12.75">
      <c r="A201" s="22" t="s">
        <v>311</v>
      </c>
      <c r="B201" s="11"/>
      <c r="C201" s="22" t="s">
        <v>222</v>
      </c>
      <c r="D201" s="23">
        <v>36238</v>
      </c>
      <c r="E201" s="24" t="s">
        <v>114</v>
      </c>
      <c r="F201" s="25">
        <v>0.5</v>
      </c>
      <c r="G201" s="25">
        <v>0.013888888888888888</v>
      </c>
      <c r="H201" s="26">
        <f>SUM(F201:G201)</f>
        <v>0.5138888888888888</v>
      </c>
      <c r="I201" s="25"/>
      <c r="J201" s="27">
        <v>12</v>
      </c>
      <c r="K201" s="277">
        <v>24</v>
      </c>
      <c r="L201" s="28">
        <v>24</v>
      </c>
      <c r="M201" s="28" t="s">
        <v>361</v>
      </c>
      <c r="N201" s="28">
        <v>1.2</v>
      </c>
      <c r="O201" s="29">
        <f t="shared" si="42"/>
        <v>30.99609375</v>
      </c>
      <c r="P201" s="30">
        <f t="shared" si="43"/>
        <v>1.0875323893229167</v>
      </c>
      <c r="Q201" s="30">
        <f t="shared" si="44"/>
        <v>0.542431640625</v>
      </c>
      <c r="R201" s="30">
        <f t="shared" si="45"/>
        <v>0.3628178873697917</v>
      </c>
      <c r="S201" s="24" t="s">
        <v>243</v>
      </c>
      <c r="T201" s="30" t="s">
        <v>211</v>
      </c>
      <c r="U201" s="31" t="s">
        <v>178</v>
      </c>
      <c r="V201" s="22" t="s">
        <v>107</v>
      </c>
    </row>
    <row r="202" spans="1:22" ht="12.75">
      <c r="A202" s="22"/>
      <c r="B202" s="11"/>
      <c r="C202" s="22"/>
      <c r="D202" s="23"/>
      <c r="E202" s="24"/>
      <c r="F202" s="25"/>
      <c r="G202" s="25"/>
      <c r="H202" s="26"/>
      <c r="I202" s="25"/>
      <c r="J202" s="27">
        <v>12</v>
      </c>
      <c r="K202" s="277">
        <v>30</v>
      </c>
      <c r="L202" s="28">
        <v>15</v>
      </c>
      <c r="M202" s="28" t="s">
        <v>362</v>
      </c>
      <c r="N202" s="28">
        <v>1.2</v>
      </c>
      <c r="O202" s="29">
        <f t="shared" si="42"/>
        <v>38.7451171875</v>
      </c>
      <c r="P202" s="30">
        <f t="shared" si="43"/>
        <v>1.3594154866536459</v>
      </c>
      <c r="Q202" s="30">
        <f t="shared" si="44"/>
        <v>0.67803955078125</v>
      </c>
      <c r="R202" s="30">
        <f t="shared" si="45"/>
        <v>0.45352235921223966</v>
      </c>
      <c r="S202" s="24" t="s">
        <v>243</v>
      </c>
      <c r="T202" s="30" t="s">
        <v>211</v>
      </c>
      <c r="U202" s="31" t="s">
        <v>212</v>
      </c>
      <c r="V202" s="22" t="s">
        <v>107</v>
      </c>
    </row>
    <row r="203" spans="1:22" ht="12.75">
      <c r="A203" s="22" t="s">
        <v>346</v>
      </c>
      <c r="B203" s="11"/>
      <c r="C203" s="22" t="s">
        <v>222</v>
      </c>
      <c r="D203" s="23">
        <v>36238</v>
      </c>
      <c r="E203" s="24" t="s">
        <v>114</v>
      </c>
      <c r="F203" s="25">
        <v>0.5208333333333334</v>
      </c>
      <c r="G203" s="25">
        <v>0.013888888888888888</v>
      </c>
      <c r="H203" s="26">
        <f>SUM(F203:G203)</f>
        <v>0.5347222222222222</v>
      </c>
      <c r="I203" s="25"/>
      <c r="J203" s="27">
        <v>12</v>
      </c>
      <c r="K203" s="277">
        <v>16</v>
      </c>
      <c r="L203" s="28">
        <v>24</v>
      </c>
      <c r="M203" s="28" t="s">
        <v>361</v>
      </c>
      <c r="N203" s="28">
        <v>1.2</v>
      </c>
      <c r="O203" s="29">
        <f>K203*1625088/N203/(1024*1024)</f>
        <v>20.6640625</v>
      </c>
      <c r="P203" s="30">
        <f t="shared" si="43"/>
        <v>0.7250215928819445</v>
      </c>
      <c r="Q203" s="30">
        <f>O203*63/3600</f>
        <v>0.36162109375</v>
      </c>
      <c r="R203" s="30">
        <f>O203*42.139/3600</f>
        <v>0.24187859157986114</v>
      </c>
      <c r="S203" s="24" t="s">
        <v>243</v>
      </c>
      <c r="T203" s="30" t="s">
        <v>211</v>
      </c>
      <c r="U203" s="31" t="s">
        <v>178</v>
      </c>
      <c r="V203" s="22" t="s">
        <v>107</v>
      </c>
    </row>
    <row r="204" spans="1:22" ht="12.75">
      <c r="A204" s="22"/>
      <c r="B204" s="11"/>
      <c r="C204" s="22"/>
      <c r="D204" s="23"/>
      <c r="E204" s="24"/>
      <c r="F204" s="25"/>
      <c r="G204" s="25"/>
      <c r="H204" s="26"/>
      <c r="I204" s="25"/>
      <c r="J204" s="27">
        <v>12</v>
      </c>
      <c r="K204" s="277">
        <v>20</v>
      </c>
      <c r="L204" s="28">
        <v>15</v>
      </c>
      <c r="M204" s="28" t="s">
        <v>362</v>
      </c>
      <c r="N204" s="28">
        <v>1.2</v>
      </c>
      <c r="O204" s="29">
        <f>K204*1625088/N204/(1024*1024)</f>
        <v>25.830078125</v>
      </c>
      <c r="P204" s="30">
        <f t="shared" si="43"/>
        <v>0.9062769911024305</v>
      </c>
      <c r="Q204" s="30">
        <f>O204*63/3600</f>
        <v>0.4520263671875</v>
      </c>
      <c r="R204" s="30">
        <f>O204*42.139/3600</f>
        <v>0.3023482394748264</v>
      </c>
      <c r="S204" s="24" t="s">
        <v>243</v>
      </c>
      <c r="T204" s="30" t="s">
        <v>211</v>
      </c>
      <c r="U204" s="31" t="s">
        <v>212</v>
      </c>
      <c r="V204" s="22" t="s">
        <v>107</v>
      </c>
    </row>
    <row r="205" spans="1:22" ht="21" customHeight="1">
      <c r="A205" s="121" t="s">
        <v>113</v>
      </c>
      <c r="B205" s="122"/>
      <c r="C205" s="123" t="s">
        <v>282</v>
      </c>
      <c r="D205" s="182">
        <v>36238</v>
      </c>
      <c r="E205" s="183" t="s">
        <v>114</v>
      </c>
      <c r="F205" s="126">
        <v>0.5416666666666666</v>
      </c>
      <c r="G205" s="126">
        <v>0.017361111111111112</v>
      </c>
      <c r="H205" s="126">
        <f>SUM(F205:G205)</f>
        <v>0.5590277777777778</v>
      </c>
      <c r="I205" s="122"/>
      <c r="J205" s="127">
        <v>12</v>
      </c>
      <c r="K205" s="263">
        <v>4</v>
      </c>
      <c r="L205" s="122">
        <v>29</v>
      </c>
      <c r="M205" s="122">
        <v>0</v>
      </c>
      <c r="N205" s="122">
        <v>2.5</v>
      </c>
      <c r="O205" s="128">
        <f>K205*1625088/N205/(1024*1024)</f>
        <v>2.4796875</v>
      </c>
      <c r="P205" s="189">
        <f>N205*63/3600</f>
        <v>0.04375</v>
      </c>
      <c r="Q205" s="129">
        <f>O205*63/3600</f>
        <v>0.04339453124999999</v>
      </c>
      <c r="R205" s="129">
        <f>O205*42.139/3600</f>
        <v>0.02902543098958333</v>
      </c>
      <c r="S205" s="183" t="s">
        <v>243</v>
      </c>
      <c r="T205" s="130" t="s">
        <v>37</v>
      </c>
      <c r="U205" s="216" t="s">
        <v>305</v>
      </c>
      <c r="V205" s="85" t="s">
        <v>107</v>
      </c>
    </row>
    <row r="206" spans="1:22" ht="25.5">
      <c r="A206" s="85" t="s">
        <v>409</v>
      </c>
      <c r="B206" s="86"/>
      <c r="C206" s="85" t="s">
        <v>282</v>
      </c>
      <c r="D206" s="87">
        <v>36238</v>
      </c>
      <c r="E206" s="88" t="s">
        <v>114</v>
      </c>
      <c r="F206" s="89">
        <v>0.5625</v>
      </c>
      <c r="G206" s="89">
        <v>0.013888888888888888</v>
      </c>
      <c r="H206" s="90">
        <f>SUM(G206+F206)</f>
        <v>0.5763888888888888</v>
      </c>
      <c r="I206" s="89"/>
      <c r="J206" s="91">
        <v>8</v>
      </c>
      <c r="K206" s="273">
        <v>12</v>
      </c>
      <c r="L206" s="92">
        <v>18</v>
      </c>
      <c r="M206" s="92">
        <v>4</v>
      </c>
      <c r="N206" s="92">
        <v>3</v>
      </c>
      <c r="O206" s="93">
        <f>K206*1625088/N206/(1024*1024)</f>
        <v>6.19921875</v>
      </c>
      <c r="P206" s="94">
        <f>O206*126.31/3600</f>
        <v>0.21750647786458333</v>
      </c>
      <c r="Q206" s="94">
        <f>O206*63/3600</f>
        <v>0.108486328125</v>
      </c>
      <c r="R206" s="94">
        <f>O206*42.139/3600</f>
        <v>0.07256357747395835</v>
      </c>
      <c r="S206" s="88" t="s">
        <v>243</v>
      </c>
      <c r="T206" s="94" t="s">
        <v>211</v>
      </c>
      <c r="U206" s="95" t="s">
        <v>242</v>
      </c>
      <c r="V206" s="85" t="s">
        <v>107</v>
      </c>
    </row>
    <row r="207" spans="1:22" ht="12.75">
      <c r="A207" s="191" t="s">
        <v>35</v>
      </c>
      <c r="B207" s="52">
        <v>43</v>
      </c>
      <c r="C207" s="53"/>
      <c r="D207" s="54">
        <v>36238</v>
      </c>
      <c r="E207" s="55" t="s">
        <v>114</v>
      </c>
      <c r="F207" s="56">
        <v>0.5840277777777778</v>
      </c>
      <c r="G207" s="56">
        <v>0.3958333333333333</v>
      </c>
      <c r="H207" s="57">
        <f>SUM(F207:G207)</f>
        <v>0.9798611111111111</v>
      </c>
      <c r="I207" s="58"/>
      <c r="J207" s="59"/>
      <c r="K207" s="275"/>
      <c r="L207" s="58"/>
      <c r="M207" s="58"/>
      <c r="N207" s="58"/>
      <c r="O207" s="60">
        <f>SUM(O191:O206)</f>
        <v>524.43466728125</v>
      </c>
      <c r="P207" s="60">
        <f>SUM(P191:P206)</f>
        <v>18.35712041560269</v>
      </c>
      <c r="Q207" s="60">
        <f>SUM(Q191:Q206)</f>
        <v>9.175954236209753</v>
      </c>
      <c r="R207" s="60">
        <f>SUM(R191:R206)</f>
        <v>6.138653456823498</v>
      </c>
      <c r="S207" s="55"/>
      <c r="T207" s="60"/>
      <c r="U207" s="61"/>
      <c r="V207" s="53"/>
    </row>
    <row r="208" spans="1:22" ht="25.5">
      <c r="A208" s="85" t="s">
        <v>410</v>
      </c>
      <c r="B208" s="86"/>
      <c r="C208" s="85" t="s">
        <v>282</v>
      </c>
      <c r="D208" s="87">
        <v>36238</v>
      </c>
      <c r="E208" s="88" t="s">
        <v>114</v>
      </c>
      <c r="F208" s="89">
        <v>0.9506944444444444</v>
      </c>
      <c r="G208" s="89">
        <v>0.013888888888888888</v>
      </c>
      <c r="H208" s="90">
        <f>SUM(G208+F208)</f>
        <v>0.9645833333333332</v>
      </c>
      <c r="I208" s="89"/>
      <c r="J208" s="91">
        <v>8</v>
      </c>
      <c r="K208" s="273">
        <v>12</v>
      </c>
      <c r="L208" s="92">
        <v>18</v>
      </c>
      <c r="M208" s="92">
        <v>4</v>
      </c>
      <c r="N208" s="92">
        <v>3</v>
      </c>
      <c r="O208" s="93">
        <f>K208*1625088/N208/(1024*1024)</f>
        <v>6.19921875</v>
      </c>
      <c r="P208" s="94">
        <f>O208*126.31/3600</f>
        <v>0.21750647786458333</v>
      </c>
      <c r="Q208" s="94">
        <f>O208*63/3600</f>
        <v>0.108486328125</v>
      </c>
      <c r="R208" s="94">
        <f>O208*42.139/3600</f>
        <v>0.07256357747395835</v>
      </c>
      <c r="S208" s="88" t="s">
        <v>243</v>
      </c>
      <c r="T208" s="94" t="s">
        <v>211</v>
      </c>
      <c r="U208" s="95" t="s">
        <v>20</v>
      </c>
      <c r="V208" s="85" t="s">
        <v>107</v>
      </c>
    </row>
    <row r="209" spans="1:22" ht="24" customHeight="1">
      <c r="A209" s="205" t="s">
        <v>347</v>
      </c>
      <c r="B209" s="206"/>
      <c r="C209" s="205" t="s">
        <v>222</v>
      </c>
      <c r="D209" s="207">
        <v>36239</v>
      </c>
      <c r="E209" s="208" t="s">
        <v>115</v>
      </c>
      <c r="F209" s="209">
        <v>0.10208333333333335</v>
      </c>
      <c r="G209" s="209">
        <v>0.23263888888888887</v>
      </c>
      <c r="H209" s="210">
        <f>SUM(F209:G209)</f>
        <v>0.3347222222222222</v>
      </c>
      <c r="I209" s="209"/>
      <c r="J209" s="211">
        <v>12</v>
      </c>
      <c r="K209" s="281">
        <v>288</v>
      </c>
      <c r="L209" s="212">
        <v>18</v>
      </c>
      <c r="M209" s="212">
        <v>4</v>
      </c>
      <c r="N209" s="212">
        <v>2.5</v>
      </c>
      <c r="O209" s="213">
        <f>K209*1625088/N209/(1024*1024)</f>
        <v>178.5375</v>
      </c>
      <c r="P209" s="214">
        <f>O209*126.31/3600</f>
        <v>6.2641865625</v>
      </c>
      <c r="Q209" s="214">
        <f>O209*63/3600</f>
        <v>3.12440625</v>
      </c>
      <c r="R209" s="214">
        <f>O209*42.139/3600</f>
        <v>2.08983103125</v>
      </c>
      <c r="S209" s="208" t="s">
        <v>243</v>
      </c>
      <c r="T209" s="214" t="s">
        <v>211</v>
      </c>
      <c r="U209" s="215" t="s">
        <v>21</v>
      </c>
      <c r="V209" s="205" t="s">
        <v>107</v>
      </c>
    </row>
    <row r="210" spans="1:22" ht="12.75">
      <c r="A210" s="97" t="s">
        <v>166</v>
      </c>
      <c r="B210" s="98"/>
      <c r="C210" s="97" t="s">
        <v>222</v>
      </c>
      <c r="D210" s="99">
        <v>36239</v>
      </c>
      <c r="E210" s="100" t="s">
        <v>115</v>
      </c>
      <c r="F210" s="101">
        <v>0.10208333333333335</v>
      </c>
      <c r="G210" s="101">
        <v>0.23263888888888887</v>
      </c>
      <c r="H210" s="102">
        <f>SUM(F210:G210)</f>
        <v>0.3347222222222222</v>
      </c>
      <c r="I210" s="101"/>
      <c r="J210" s="103"/>
      <c r="K210" s="278">
        <v>4296</v>
      </c>
      <c r="L210" s="104">
        <v>5</v>
      </c>
      <c r="M210" s="104"/>
      <c r="N210" s="104"/>
      <c r="O210" s="107">
        <f>K210*2864/2.5/1000000</f>
        <v>4.9214975999999995</v>
      </c>
      <c r="P210" s="108">
        <f>O210*126.31/3600</f>
        <v>0.17267621162666666</v>
      </c>
      <c r="Q210" s="108">
        <f>O210*63/3600</f>
        <v>0.08612620799999998</v>
      </c>
      <c r="R210" s="108">
        <f>O210*42.139/3600</f>
        <v>0.05760749649066666</v>
      </c>
      <c r="S210" s="100" t="s">
        <v>243</v>
      </c>
      <c r="T210" s="105" t="s">
        <v>211</v>
      </c>
      <c r="U210" s="106" t="s">
        <v>195</v>
      </c>
      <c r="V210" s="97" t="s">
        <v>107</v>
      </c>
    </row>
    <row r="211" spans="1:22" ht="12.75">
      <c r="A211" s="22" t="s">
        <v>348</v>
      </c>
      <c r="B211" s="11"/>
      <c r="C211" s="22" t="s">
        <v>222</v>
      </c>
      <c r="D211" s="23">
        <v>36239</v>
      </c>
      <c r="E211" s="24" t="s">
        <v>115</v>
      </c>
      <c r="F211" s="25">
        <v>0.3333333333333333</v>
      </c>
      <c r="G211" s="25">
        <v>0.013888888888888888</v>
      </c>
      <c r="H211" s="26">
        <f>SUM(F211:G211)</f>
        <v>0.3472222222222222</v>
      </c>
      <c r="I211" s="25"/>
      <c r="J211" s="27">
        <v>12</v>
      </c>
      <c r="K211" s="277">
        <v>20</v>
      </c>
      <c r="L211" s="28">
        <v>24</v>
      </c>
      <c r="M211" s="28" t="s">
        <v>361</v>
      </c>
      <c r="N211" s="28">
        <v>1.2</v>
      </c>
      <c r="O211" s="29">
        <f aca="true" t="shared" si="46" ref="O211:O218">K211*1625088/N211/(1024*1024)</f>
        <v>25.830078125</v>
      </c>
      <c r="P211" s="30">
        <f aca="true" t="shared" si="47" ref="P211:P228">O211*126.31/3600</f>
        <v>0.9062769911024305</v>
      </c>
      <c r="Q211" s="30">
        <f aca="true" t="shared" si="48" ref="Q211:Q218">O211*63/3600</f>
        <v>0.4520263671875</v>
      </c>
      <c r="R211" s="30">
        <f aca="true" t="shared" si="49" ref="R211:R218">O211*42.139/3600</f>
        <v>0.3023482394748264</v>
      </c>
      <c r="S211" s="24" t="s">
        <v>243</v>
      </c>
      <c r="T211" s="30" t="s">
        <v>211</v>
      </c>
      <c r="U211" s="31" t="s">
        <v>180</v>
      </c>
      <c r="V211" s="22" t="s">
        <v>107</v>
      </c>
    </row>
    <row r="212" spans="1:22" ht="12.75">
      <c r="A212" s="22"/>
      <c r="B212" s="11"/>
      <c r="C212" s="22"/>
      <c r="D212" s="23"/>
      <c r="E212" s="24"/>
      <c r="F212" s="25"/>
      <c r="G212" s="25"/>
      <c r="H212" s="26"/>
      <c r="I212" s="25"/>
      <c r="J212" s="27">
        <v>12</v>
      </c>
      <c r="K212" s="277">
        <v>25</v>
      </c>
      <c r="L212" s="28">
        <v>15</v>
      </c>
      <c r="M212" s="28" t="s">
        <v>362</v>
      </c>
      <c r="N212" s="28">
        <v>1.2</v>
      </c>
      <c r="O212" s="29">
        <f t="shared" si="46"/>
        <v>32.28759765625</v>
      </c>
      <c r="P212" s="30">
        <f t="shared" si="47"/>
        <v>1.1328462388780383</v>
      </c>
      <c r="Q212" s="30">
        <f t="shared" si="48"/>
        <v>0.565032958984375</v>
      </c>
      <c r="R212" s="30">
        <f t="shared" si="49"/>
        <v>0.377935299343533</v>
      </c>
      <c r="S212" s="24" t="s">
        <v>243</v>
      </c>
      <c r="T212" s="30" t="s">
        <v>211</v>
      </c>
      <c r="U212" s="31" t="s">
        <v>212</v>
      </c>
      <c r="V212" s="22" t="s">
        <v>107</v>
      </c>
    </row>
    <row r="213" spans="1:22" ht="12.75">
      <c r="A213" s="22" t="s">
        <v>349</v>
      </c>
      <c r="B213" s="11"/>
      <c r="C213" s="22" t="s">
        <v>222</v>
      </c>
      <c r="D213" s="23">
        <v>36239</v>
      </c>
      <c r="E213" s="24" t="s">
        <v>115</v>
      </c>
      <c r="F213" s="25">
        <v>0.3541666666666667</v>
      </c>
      <c r="G213" s="25">
        <v>0.013888888888888888</v>
      </c>
      <c r="H213" s="26">
        <f>SUM(F213:G213)</f>
        <v>0.3680555555555556</v>
      </c>
      <c r="I213" s="25"/>
      <c r="J213" s="27">
        <v>12</v>
      </c>
      <c r="K213" s="277">
        <v>16</v>
      </c>
      <c r="L213" s="28">
        <v>24</v>
      </c>
      <c r="M213" s="28" t="s">
        <v>361</v>
      </c>
      <c r="N213" s="28">
        <v>1.2</v>
      </c>
      <c r="O213" s="29">
        <f t="shared" si="46"/>
        <v>20.6640625</v>
      </c>
      <c r="P213" s="30">
        <f t="shared" si="47"/>
        <v>0.7250215928819445</v>
      </c>
      <c r="Q213" s="30">
        <f t="shared" si="48"/>
        <v>0.36162109375</v>
      </c>
      <c r="R213" s="30">
        <f t="shared" si="49"/>
        <v>0.24187859157986114</v>
      </c>
      <c r="S213" s="24" t="s">
        <v>243</v>
      </c>
      <c r="T213" s="30" t="s">
        <v>211</v>
      </c>
      <c r="U213" s="31" t="s">
        <v>178</v>
      </c>
      <c r="V213" s="22" t="s">
        <v>107</v>
      </c>
    </row>
    <row r="214" spans="1:22" ht="12.75">
      <c r="A214" s="22"/>
      <c r="B214" s="11"/>
      <c r="C214" s="22"/>
      <c r="D214" s="23"/>
      <c r="E214" s="24"/>
      <c r="F214" s="25"/>
      <c r="G214" s="25"/>
      <c r="H214" s="26"/>
      <c r="I214" s="25"/>
      <c r="J214" s="27">
        <v>12</v>
      </c>
      <c r="K214" s="277">
        <v>20</v>
      </c>
      <c r="L214" s="28">
        <v>15</v>
      </c>
      <c r="M214" s="28" t="s">
        <v>362</v>
      </c>
      <c r="N214" s="28">
        <v>1.2</v>
      </c>
      <c r="O214" s="29">
        <f t="shared" si="46"/>
        <v>25.830078125</v>
      </c>
      <c r="P214" s="30">
        <f t="shared" si="47"/>
        <v>0.9062769911024305</v>
      </c>
      <c r="Q214" s="30">
        <f t="shared" si="48"/>
        <v>0.4520263671875</v>
      </c>
      <c r="R214" s="30">
        <f t="shared" si="49"/>
        <v>0.3023482394748264</v>
      </c>
      <c r="S214" s="24" t="s">
        <v>243</v>
      </c>
      <c r="T214" s="30" t="s">
        <v>211</v>
      </c>
      <c r="U214" s="31" t="s">
        <v>212</v>
      </c>
      <c r="V214" s="22" t="s">
        <v>107</v>
      </c>
    </row>
    <row r="215" spans="1:22" ht="12.75">
      <c r="A215" s="22" t="s">
        <v>350</v>
      </c>
      <c r="B215" s="11"/>
      <c r="C215" s="22" t="s">
        <v>222</v>
      </c>
      <c r="D215" s="23">
        <v>36239</v>
      </c>
      <c r="E215" s="24" t="s">
        <v>115</v>
      </c>
      <c r="F215" s="25">
        <v>0.3638888888888889</v>
      </c>
      <c r="G215" s="25">
        <v>0.013888888888888888</v>
      </c>
      <c r="H215" s="26">
        <f>SUM(F215:G215)</f>
        <v>0.37777777777777777</v>
      </c>
      <c r="I215" s="25"/>
      <c r="J215" s="27">
        <v>12</v>
      </c>
      <c r="K215" s="277">
        <v>16</v>
      </c>
      <c r="L215" s="28">
        <v>24</v>
      </c>
      <c r="M215" s="28" t="s">
        <v>361</v>
      </c>
      <c r="N215" s="28">
        <v>1.2</v>
      </c>
      <c r="O215" s="29">
        <f t="shared" si="46"/>
        <v>20.6640625</v>
      </c>
      <c r="P215" s="30">
        <f t="shared" si="47"/>
        <v>0.7250215928819445</v>
      </c>
      <c r="Q215" s="30">
        <f t="shared" si="48"/>
        <v>0.36162109375</v>
      </c>
      <c r="R215" s="30">
        <f t="shared" si="49"/>
        <v>0.24187859157986114</v>
      </c>
      <c r="S215" s="24" t="s">
        <v>243</v>
      </c>
      <c r="T215" s="30" t="s">
        <v>211</v>
      </c>
      <c r="U215" s="31" t="s">
        <v>179</v>
      </c>
      <c r="V215" s="22" t="s">
        <v>107</v>
      </c>
    </row>
    <row r="216" spans="1:22" ht="12.75">
      <c r="A216" s="22"/>
      <c r="B216" s="11"/>
      <c r="C216" s="22"/>
      <c r="D216" s="23"/>
      <c r="E216" s="24"/>
      <c r="F216" s="25"/>
      <c r="G216" s="25"/>
      <c r="H216" s="26"/>
      <c r="I216" s="25"/>
      <c r="J216" s="27">
        <v>12</v>
      </c>
      <c r="K216" s="277">
        <v>20</v>
      </c>
      <c r="L216" s="28">
        <v>15</v>
      </c>
      <c r="M216" s="28" t="s">
        <v>362</v>
      </c>
      <c r="N216" s="28">
        <v>1.2</v>
      </c>
      <c r="O216" s="29">
        <f t="shared" si="46"/>
        <v>25.830078125</v>
      </c>
      <c r="P216" s="30">
        <f t="shared" si="47"/>
        <v>0.9062769911024305</v>
      </c>
      <c r="Q216" s="30">
        <f t="shared" si="48"/>
        <v>0.4520263671875</v>
      </c>
      <c r="R216" s="30">
        <f t="shared" si="49"/>
        <v>0.3023482394748264</v>
      </c>
      <c r="S216" s="24" t="s">
        <v>243</v>
      </c>
      <c r="T216" s="30" t="s">
        <v>211</v>
      </c>
      <c r="U216" s="31" t="s">
        <v>212</v>
      </c>
      <c r="V216" s="22" t="s">
        <v>107</v>
      </c>
    </row>
    <row r="217" spans="1:22" ht="12.75">
      <c r="A217" s="22" t="s">
        <v>351</v>
      </c>
      <c r="B217" s="11"/>
      <c r="C217" s="22" t="s">
        <v>222</v>
      </c>
      <c r="D217" s="23">
        <v>36239</v>
      </c>
      <c r="E217" s="24" t="s">
        <v>115</v>
      </c>
      <c r="F217" s="25">
        <v>0.3736111111111111</v>
      </c>
      <c r="G217" s="25">
        <v>0.013888888888888888</v>
      </c>
      <c r="H217" s="26">
        <f>SUM(F217:G217)</f>
        <v>0.3875</v>
      </c>
      <c r="I217" s="25"/>
      <c r="J217" s="27">
        <v>12</v>
      </c>
      <c r="K217" s="277">
        <v>16</v>
      </c>
      <c r="L217" s="28">
        <v>24</v>
      </c>
      <c r="M217" s="28" t="s">
        <v>361</v>
      </c>
      <c r="N217" s="28">
        <v>1.2</v>
      </c>
      <c r="O217" s="29">
        <f t="shared" si="46"/>
        <v>20.6640625</v>
      </c>
      <c r="P217" s="30">
        <f t="shared" si="47"/>
        <v>0.7250215928819445</v>
      </c>
      <c r="Q217" s="30">
        <f t="shared" si="48"/>
        <v>0.36162109375</v>
      </c>
      <c r="R217" s="30">
        <f t="shared" si="49"/>
        <v>0.24187859157986114</v>
      </c>
      <c r="S217" s="24" t="s">
        <v>243</v>
      </c>
      <c r="T217" s="30" t="s">
        <v>211</v>
      </c>
      <c r="U217" s="31" t="s">
        <v>179</v>
      </c>
      <c r="V217" s="22" t="s">
        <v>107</v>
      </c>
    </row>
    <row r="218" spans="1:22" ht="12.75">
      <c r="A218" s="22"/>
      <c r="B218" s="11"/>
      <c r="C218" s="22"/>
      <c r="D218" s="23"/>
      <c r="E218" s="24"/>
      <c r="F218" s="25"/>
      <c r="G218" s="25"/>
      <c r="H218" s="26"/>
      <c r="I218" s="25"/>
      <c r="J218" s="27">
        <v>12</v>
      </c>
      <c r="K218" s="277">
        <v>20</v>
      </c>
      <c r="L218" s="28">
        <v>15</v>
      </c>
      <c r="M218" s="28" t="s">
        <v>362</v>
      </c>
      <c r="N218" s="28">
        <v>1.2</v>
      </c>
      <c r="O218" s="29">
        <f t="shared" si="46"/>
        <v>25.830078125</v>
      </c>
      <c r="P218" s="30">
        <f t="shared" si="47"/>
        <v>0.9062769911024305</v>
      </c>
      <c r="Q218" s="30">
        <f t="shared" si="48"/>
        <v>0.4520263671875</v>
      </c>
      <c r="R218" s="30">
        <f t="shared" si="49"/>
        <v>0.3023482394748264</v>
      </c>
      <c r="S218" s="24" t="s">
        <v>243</v>
      </c>
      <c r="T218" s="30" t="s">
        <v>211</v>
      </c>
      <c r="U218" s="31" t="s">
        <v>212</v>
      </c>
      <c r="V218" s="22" t="s">
        <v>107</v>
      </c>
    </row>
    <row r="219" spans="1:22" ht="12.75">
      <c r="A219" s="22" t="s">
        <v>352</v>
      </c>
      <c r="B219" s="11"/>
      <c r="C219" s="22" t="s">
        <v>222</v>
      </c>
      <c r="D219" s="23">
        <v>36239</v>
      </c>
      <c r="E219" s="24" t="s">
        <v>115</v>
      </c>
      <c r="F219" s="25">
        <v>0.44097222222222227</v>
      </c>
      <c r="G219" s="25">
        <v>0.013888888888888888</v>
      </c>
      <c r="H219" s="26">
        <f>SUM(F219:G219)</f>
        <v>0.45486111111111116</v>
      </c>
      <c r="I219" s="25"/>
      <c r="J219" s="27">
        <v>12</v>
      </c>
      <c r="K219" s="277">
        <v>20</v>
      </c>
      <c r="L219" s="28">
        <v>24</v>
      </c>
      <c r="M219" s="28" t="s">
        <v>361</v>
      </c>
      <c r="N219" s="28">
        <v>1.2</v>
      </c>
      <c r="O219" s="29">
        <f aca="true" t="shared" si="50" ref="O219:O224">K219*1625088/N219/(1024*1024)</f>
        <v>25.830078125</v>
      </c>
      <c r="P219" s="30">
        <f t="shared" si="47"/>
        <v>0.9062769911024305</v>
      </c>
      <c r="Q219" s="30">
        <f aca="true" t="shared" si="51" ref="Q219:Q224">O219*63/3600</f>
        <v>0.4520263671875</v>
      </c>
      <c r="R219" s="30">
        <f aca="true" t="shared" si="52" ref="R219:R224">O219*42.139/3600</f>
        <v>0.3023482394748264</v>
      </c>
      <c r="S219" s="24" t="s">
        <v>243</v>
      </c>
      <c r="T219" s="30" t="s">
        <v>211</v>
      </c>
      <c r="U219" s="31" t="s">
        <v>180</v>
      </c>
      <c r="V219" s="22" t="s">
        <v>107</v>
      </c>
    </row>
    <row r="220" spans="1:22" ht="12.75">
      <c r="A220" s="22"/>
      <c r="B220" s="11"/>
      <c r="C220" s="22"/>
      <c r="D220" s="23"/>
      <c r="E220" s="24"/>
      <c r="F220" s="25"/>
      <c r="G220" s="25"/>
      <c r="H220" s="26"/>
      <c r="I220" s="25"/>
      <c r="J220" s="27">
        <v>12</v>
      </c>
      <c r="K220" s="277">
        <v>25</v>
      </c>
      <c r="L220" s="28">
        <v>15</v>
      </c>
      <c r="M220" s="28" t="s">
        <v>362</v>
      </c>
      <c r="N220" s="28">
        <v>1.2</v>
      </c>
      <c r="O220" s="29">
        <f t="shared" si="50"/>
        <v>32.28759765625</v>
      </c>
      <c r="P220" s="30">
        <f t="shared" si="47"/>
        <v>1.1328462388780383</v>
      </c>
      <c r="Q220" s="30">
        <f t="shared" si="51"/>
        <v>0.565032958984375</v>
      </c>
      <c r="R220" s="30">
        <f t="shared" si="52"/>
        <v>0.377935299343533</v>
      </c>
      <c r="S220" s="24" t="s">
        <v>243</v>
      </c>
      <c r="T220" s="30" t="s">
        <v>211</v>
      </c>
      <c r="U220" s="31" t="s">
        <v>212</v>
      </c>
      <c r="V220" s="22" t="s">
        <v>107</v>
      </c>
    </row>
    <row r="221" spans="1:22" ht="12.75">
      <c r="A221" s="22" t="s">
        <v>69</v>
      </c>
      <c r="B221" s="11"/>
      <c r="C221" s="22" t="s">
        <v>222</v>
      </c>
      <c r="D221" s="23">
        <v>36239</v>
      </c>
      <c r="E221" s="24" t="s">
        <v>115</v>
      </c>
      <c r="F221" s="25">
        <v>0.4618055555555556</v>
      </c>
      <c r="G221" s="25">
        <v>0.013888888888888888</v>
      </c>
      <c r="H221" s="26">
        <f>SUM(F221:G221)</f>
        <v>0.4756944444444445</v>
      </c>
      <c r="I221" s="25"/>
      <c r="J221" s="27">
        <v>12</v>
      </c>
      <c r="K221" s="277">
        <v>16</v>
      </c>
      <c r="L221" s="28">
        <v>24</v>
      </c>
      <c r="M221" s="28" t="s">
        <v>361</v>
      </c>
      <c r="N221" s="28">
        <v>1.2</v>
      </c>
      <c r="O221" s="29">
        <f t="shared" si="50"/>
        <v>20.6640625</v>
      </c>
      <c r="P221" s="30">
        <f t="shared" si="47"/>
        <v>0.7250215928819445</v>
      </c>
      <c r="Q221" s="30">
        <f t="shared" si="51"/>
        <v>0.36162109375</v>
      </c>
      <c r="R221" s="30">
        <f t="shared" si="52"/>
        <v>0.24187859157986114</v>
      </c>
      <c r="S221" s="24" t="s">
        <v>243</v>
      </c>
      <c r="T221" s="30" t="s">
        <v>211</v>
      </c>
      <c r="U221" s="31" t="s">
        <v>179</v>
      </c>
      <c r="V221" s="22" t="s">
        <v>107</v>
      </c>
    </row>
    <row r="222" spans="1:22" ht="12.75">
      <c r="A222" s="22"/>
      <c r="B222" s="11"/>
      <c r="C222" s="22"/>
      <c r="D222" s="23"/>
      <c r="E222" s="24"/>
      <c r="F222" s="25"/>
      <c r="G222" s="25"/>
      <c r="H222" s="26"/>
      <c r="I222" s="25"/>
      <c r="J222" s="27">
        <v>12</v>
      </c>
      <c r="K222" s="277">
        <v>20</v>
      </c>
      <c r="L222" s="28">
        <v>15</v>
      </c>
      <c r="M222" s="28" t="s">
        <v>362</v>
      </c>
      <c r="N222" s="28">
        <v>1.2</v>
      </c>
      <c r="O222" s="29">
        <f t="shared" si="50"/>
        <v>25.830078125</v>
      </c>
      <c r="P222" s="30">
        <f t="shared" si="47"/>
        <v>0.9062769911024305</v>
      </c>
      <c r="Q222" s="30">
        <f t="shared" si="51"/>
        <v>0.4520263671875</v>
      </c>
      <c r="R222" s="30">
        <f t="shared" si="52"/>
        <v>0.3023482394748264</v>
      </c>
      <c r="S222" s="24" t="s">
        <v>243</v>
      </c>
      <c r="T222" s="30" t="s">
        <v>211</v>
      </c>
      <c r="U222" s="31" t="s">
        <v>212</v>
      </c>
      <c r="V222" s="22" t="s">
        <v>107</v>
      </c>
    </row>
    <row r="223" spans="1:22" ht="12.75">
      <c r="A223" s="22" t="s">
        <v>70</v>
      </c>
      <c r="B223" s="11"/>
      <c r="C223" s="22" t="s">
        <v>222</v>
      </c>
      <c r="D223" s="23">
        <v>36239</v>
      </c>
      <c r="E223" s="24" t="s">
        <v>115</v>
      </c>
      <c r="F223" s="25">
        <v>0.47222222222222227</v>
      </c>
      <c r="G223" s="25">
        <v>0.013888888888888888</v>
      </c>
      <c r="H223" s="26">
        <f>SUM(F223:G223)</f>
        <v>0.48611111111111116</v>
      </c>
      <c r="I223" s="25"/>
      <c r="J223" s="27">
        <v>12</v>
      </c>
      <c r="K223" s="277">
        <v>16</v>
      </c>
      <c r="L223" s="28">
        <v>24</v>
      </c>
      <c r="M223" s="28" t="s">
        <v>361</v>
      </c>
      <c r="N223" s="28">
        <v>1.2</v>
      </c>
      <c r="O223" s="29">
        <f t="shared" si="50"/>
        <v>20.6640625</v>
      </c>
      <c r="P223" s="30">
        <f t="shared" si="47"/>
        <v>0.7250215928819445</v>
      </c>
      <c r="Q223" s="30">
        <f t="shared" si="51"/>
        <v>0.36162109375</v>
      </c>
      <c r="R223" s="30">
        <f t="shared" si="52"/>
        <v>0.24187859157986114</v>
      </c>
      <c r="S223" s="24" t="s">
        <v>243</v>
      </c>
      <c r="T223" s="30" t="s">
        <v>211</v>
      </c>
      <c r="U223" s="31" t="s">
        <v>179</v>
      </c>
      <c r="V223" s="22" t="s">
        <v>107</v>
      </c>
    </row>
    <row r="224" spans="1:22" ht="12.75">
      <c r="A224" s="22"/>
      <c r="B224" s="11"/>
      <c r="C224" s="22"/>
      <c r="D224" s="23"/>
      <c r="E224" s="24"/>
      <c r="F224" s="25"/>
      <c r="G224" s="25"/>
      <c r="H224" s="26"/>
      <c r="I224" s="25"/>
      <c r="J224" s="27">
        <v>12</v>
      </c>
      <c r="K224" s="277">
        <v>20</v>
      </c>
      <c r="L224" s="28">
        <v>15</v>
      </c>
      <c r="M224" s="28" t="s">
        <v>362</v>
      </c>
      <c r="N224" s="28">
        <v>1.2</v>
      </c>
      <c r="O224" s="29">
        <f t="shared" si="50"/>
        <v>25.830078125</v>
      </c>
      <c r="P224" s="30">
        <f t="shared" si="47"/>
        <v>0.9062769911024305</v>
      </c>
      <c r="Q224" s="30">
        <f t="shared" si="51"/>
        <v>0.4520263671875</v>
      </c>
      <c r="R224" s="30">
        <f t="shared" si="52"/>
        <v>0.3023482394748264</v>
      </c>
      <c r="S224" s="24" t="s">
        <v>243</v>
      </c>
      <c r="T224" s="30" t="s">
        <v>211</v>
      </c>
      <c r="U224" s="31" t="s">
        <v>212</v>
      </c>
      <c r="V224" s="22" t="s">
        <v>107</v>
      </c>
    </row>
    <row r="225" spans="1:22" ht="12.75">
      <c r="A225" s="22" t="s">
        <v>71</v>
      </c>
      <c r="B225" s="11"/>
      <c r="C225" s="22" t="s">
        <v>222</v>
      </c>
      <c r="D225" s="23">
        <v>36239</v>
      </c>
      <c r="E225" s="24" t="s">
        <v>115</v>
      </c>
      <c r="F225" s="25">
        <v>0.4826388888888889</v>
      </c>
      <c r="G225" s="25">
        <v>0.013888888888888888</v>
      </c>
      <c r="H225" s="26">
        <f>SUM(F225:G225)</f>
        <v>0.4965277777777778</v>
      </c>
      <c r="I225" s="25"/>
      <c r="J225" s="27">
        <v>12</v>
      </c>
      <c r="K225" s="277">
        <v>16</v>
      </c>
      <c r="L225" s="28">
        <v>24</v>
      </c>
      <c r="M225" s="28" t="s">
        <v>361</v>
      </c>
      <c r="N225" s="28">
        <v>1.2</v>
      </c>
      <c r="O225" s="29">
        <f>K225*1625088/N225/(1024*1024)</f>
        <v>20.6640625</v>
      </c>
      <c r="P225" s="30">
        <f t="shared" si="47"/>
        <v>0.7250215928819445</v>
      </c>
      <c r="Q225" s="30">
        <f>O225*63/3600</f>
        <v>0.36162109375</v>
      </c>
      <c r="R225" s="30">
        <f>O225*42.139/3600</f>
        <v>0.24187859157986114</v>
      </c>
      <c r="S225" s="24" t="s">
        <v>243</v>
      </c>
      <c r="T225" s="30" t="s">
        <v>211</v>
      </c>
      <c r="U225" s="31" t="s">
        <v>179</v>
      </c>
      <c r="V225" s="22" t="s">
        <v>107</v>
      </c>
    </row>
    <row r="226" spans="1:22" ht="12.75">
      <c r="A226" s="22"/>
      <c r="B226" s="11"/>
      <c r="C226" s="22"/>
      <c r="D226" s="23"/>
      <c r="E226" s="24"/>
      <c r="F226" s="25"/>
      <c r="G226" s="25"/>
      <c r="H226" s="26"/>
      <c r="I226" s="25"/>
      <c r="J226" s="27">
        <v>12</v>
      </c>
      <c r="K226" s="277">
        <v>20</v>
      </c>
      <c r="L226" s="28">
        <v>15</v>
      </c>
      <c r="M226" s="28" t="s">
        <v>362</v>
      </c>
      <c r="N226" s="28">
        <v>1.2</v>
      </c>
      <c r="O226" s="29">
        <f>K226*1625088/N226/(1024*1024)</f>
        <v>25.830078125</v>
      </c>
      <c r="P226" s="30">
        <f t="shared" si="47"/>
        <v>0.9062769911024305</v>
      </c>
      <c r="Q226" s="30">
        <f>O226*63/3600</f>
        <v>0.4520263671875</v>
      </c>
      <c r="R226" s="30">
        <f>O226*42.139/3600</f>
        <v>0.3023482394748264</v>
      </c>
      <c r="S226" s="24" t="s">
        <v>243</v>
      </c>
      <c r="T226" s="30" t="s">
        <v>211</v>
      </c>
      <c r="U226" s="31" t="s">
        <v>212</v>
      </c>
      <c r="V226" s="22" t="s">
        <v>107</v>
      </c>
    </row>
    <row r="227" spans="1:22" ht="12.75">
      <c r="A227" s="22" t="s">
        <v>72</v>
      </c>
      <c r="B227" s="11"/>
      <c r="C227" s="22" t="s">
        <v>222</v>
      </c>
      <c r="D227" s="23">
        <v>36239</v>
      </c>
      <c r="E227" s="24" t="s">
        <v>115</v>
      </c>
      <c r="F227" s="25">
        <v>0.5034722222222222</v>
      </c>
      <c r="G227" s="25">
        <v>0.013888888888888888</v>
      </c>
      <c r="H227" s="26">
        <f>SUM(F227:G227)</f>
        <v>0.517361111111111</v>
      </c>
      <c r="I227" s="25"/>
      <c r="J227" s="27">
        <v>12</v>
      </c>
      <c r="K227" s="277">
        <v>16</v>
      </c>
      <c r="L227" s="28">
        <v>24</v>
      </c>
      <c r="M227" s="28" t="s">
        <v>361</v>
      </c>
      <c r="N227" s="28">
        <v>1.2</v>
      </c>
      <c r="O227" s="29">
        <f>K227*1625088/N227/(1024*1024)</f>
        <v>20.6640625</v>
      </c>
      <c r="P227" s="30">
        <f t="shared" si="47"/>
        <v>0.7250215928819445</v>
      </c>
      <c r="Q227" s="30">
        <f>O227*63/3600</f>
        <v>0.36162109375</v>
      </c>
      <c r="R227" s="30">
        <f>O227*42.139/3600</f>
        <v>0.24187859157986114</v>
      </c>
      <c r="S227" s="24" t="s">
        <v>243</v>
      </c>
      <c r="T227" s="30" t="s">
        <v>211</v>
      </c>
      <c r="U227" s="31" t="s">
        <v>179</v>
      </c>
      <c r="V227" s="22" t="s">
        <v>107</v>
      </c>
    </row>
    <row r="228" spans="1:22" ht="12.75">
      <c r="A228" s="22"/>
      <c r="B228" s="11"/>
      <c r="C228" s="22"/>
      <c r="D228" s="23"/>
      <c r="E228" s="24"/>
      <c r="F228" s="25"/>
      <c r="G228" s="25"/>
      <c r="H228" s="26"/>
      <c r="I228" s="25"/>
      <c r="J228" s="27">
        <v>12</v>
      </c>
      <c r="K228" s="277">
        <v>20</v>
      </c>
      <c r="L228" s="28">
        <v>15</v>
      </c>
      <c r="M228" s="28" t="s">
        <v>362</v>
      </c>
      <c r="N228" s="28">
        <v>1.2</v>
      </c>
      <c r="O228" s="29">
        <f>K228*1625088/N228/(1024*1024)</f>
        <v>25.830078125</v>
      </c>
      <c r="P228" s="30">
        <f t="shared" si="47"/>
        <v>0.9062769911024305</v>
      </c>
      <c r="Q228" s="30">
        <f>O228*63/3600</f>
        <v>0.4520263671875</v>
      </c>
      <c r="R228" s="30">
        <f>O228*42.139/3600</f>
        <v>0.3023482394748264</v>
      </c>
      <c r="S228" s="24" t="s">
        <v>243</v>
      </c>
      <c r="T228" s="30" t="s">
        <v>211</v>
      </c>
      <c r="U228" s="31" t="s">
        <v>212</v>
      </c>
      <c r="V228" s="22" t="s">
        <v>107</v>
      </c>
    </row>
    <row r="229" spans="1:22" ht="21" customHeight="1">
      <c r="A229" s="121" t="s">
        <v>116</v>
      </c>
      <c r="B229" s="122"/>
      <c r="C229" s="123" t="s">
        <v>282</v>
      </c>
      <c r="D229" s="182">
        <v>36239</v>
      </c>
      <c r="E229" s="183" t="s">
        <v>115</v>
      </c>
      <c r="F229" s="126">
        <v>0.5416666666666666</v>
      </c>
      <c r="G229" s="126">
        <v>0.017361111111111112</v>
      </c>
      <c r="H229" s="126">
        <f>SUM(F229:G229)</f>
        <v>0.5590277777777778</v>
      </c>
      <c r="I229" s="122"/>
      <c r="J229" s="127">
        <v>12</v>
      </c>
      <c r="K229" s="263">
        <v>4</v>
      </c>
      <c r="L229" s="122">
        <v>29</v>
      </c>
      <c r="M229" s="122">
        <v>0</v>
      </c>
      <c r="N229" s="122">
        <v>2.5</v>
      </c>
      <c r="O229" s="128">
        <f>K229*1625088/N229/(1024*1024)</f>
        <v>2.4796875</v>
      </c>
      <c r="P229" s="189">
        <f>N229*63/3600</f>
        <v>0.04375</v>
      </c>
      <c r="Q229" s="129">
        <f>O229*63/3600</f>
        <v>0.04339453124999999</v>
      </c>
      <c r="R229" s="129">
        <f>O229*42.139/3600</f>
        <v>0.02902543098958333</v>
      </c>
      <c r="S229" s="183" t="s">
        <v>243</v>
      </c>
      <c r="T229" s="130" t="s">
        <v>37</v>
      </c>
      <c r="U229" s="216" t="s">
        <v>305</v>
      </c>
      <c r="V229" s="85" t="s">
        <v>107</v>
      </c>
    </row>
    <row r="230" spans="1:22" ht="25.5">
      <c r="A230" s="223" t="s">
        <v>73</v>
      </c>
      <c r="B230" s="224"/>
      <c r="C230" s="223" t="s">
        <v>282</v>
      </c>
      <c r="D230" s="225">
        <v>36239</v>
      </c>
      <c r="E230" s="226" t="s">
        <v>115</v>
      </c>
      <c r="F230" s="227">
        <v>0.5625</v>
      </c>
      <c r="G230" s="227">
        <v>0.013888888888888888</v>
      </c>
      <c r="H230" s="228">
        <f>SUM(G230+F230)</f>
        <v>0.5763888888888888</v>
      </c>
      <c r="I230" s="227"/>
      <c r="J230" s="229">
        <v>8</v>
      </c>
      <c r="K230" s="282">
        <v>15</v>
      </c>
      <c r="L230" s="230">
        <v>18</v>
      </c>
      <c r="M230" s="230">
        <v>4</v>
      </c>
      <c r="N230" s="230">
        <v>3</v>
      </c>
      <c r="O230" s="231">
        <f>K230*1625088/N230/(1024*1024)</f>
        <v>7.7490234375</v>
      </c>
      <c r="P230" s="232">
        <f>O230*126.31/3600</f>
        <v>0.2718830973307292</v>
      </c>
      <c r="Q230" s="232">
        <f>O230*63/3600</f>
        <v>0.13560791015625</v>
      </c>
      <c r="R230" s="232">
        <f>O230*42.139/3600</f>
        <v>0.09070447184244793</v>
      </c>
      <c r="S230" s="226" t="s">
        <v>243</v>
      </c>
      <c r="T230" s="232" t="s">
        <v>211</v>
      </c>
      <c r="U230" s="233" t="s">
        <v>30</v>
      </c>
      <c r="V230" s="85" t="s">
        <v>107</v>
      </c>
    </row>
    <row r="231" spans="1:22" ht="12.75">
      <c r="A231" s="191" t="s">
        <v>35</v>
      </c>
      <c r="B231" s="52">
        <v>43</v>
      </c>
      <c r="C231" s="53"/>
      <c r="D231" s="54">
        <v>36239</v>
      </c>
      <c r="E231" s="55" t="s">
        <v>115</v>
      </c>
      <c r="F231" s="56">
        <v>0.5840277777777778</v>
      </c>
      <c r="G231" s="56">
        <v>0.4166666666666667</v>
      </c>
      <c r="H231" s="57">
        <f>SUM(F231:G231)</f>
        <v>1.0006944444444446</v>
      </c>
      <c r="I231" s="58"/>
      <c r="J231" s="59"/>
      <c r="K231" s="275"/>
      <c r="L231" s="58"/>
      <c r="M231" s="58"/>
      <c r="N231" s="58"/>
      <c r="O231" s="60">
        <f>SUM(O208:O230)</f>
        <v>641.5812632249999</v>
      </c>
      <c r="P231" s="60">
        <f>SUM(P208:P230)</f>
        <v>22.46733889717354</v>
      </c>
      <c r="Q231" s="60">
        <f>SUM(Q208:Q230)</f>
        <v>11.227672106437497</v>
      </c>
      <c r="R231" s="60">
        <f>SUM(R208:R230)</f>
        <v>7.509886903066187</v>
      </c>
      <c r="S231" s="55"/>
      <c r="T231" s="60"/>
      <c r="U231" s="53"/>
      <c r="V231" s="53"/>
    </row>
    <row r="232" spans="1:22" ht="13.5" thickBot="1">
      <c r="A232" s="236" t="s">
        <v>128</v>
      </c>
      <c r="B232" s="237"/>
      <c r="C232" s="238"/>
      <c r="D232" s="239"/>
      <c r="E232" s="240"/>
      <c r="F232" s="241"/>
      <c r="G232" s="241"/>
      <c r="H232" s="242"/>
      <c r="I232" s="243"/>
      <c r="J232" s="244"/>
      <c r="K232" s="279">
        <f>SUM(K150:K230)-K151-K152-K156-K159-K166-K171-K193-K210</f>
        <v>2876</v>
      </c>
      <c r="L232" s="243"/>
      <c r="M232" s="243"/>
      <c r="N232" s="243">
        <v>2</v>
      </c>
      <c r="O232" s="245">
        <f>K232*1625088/N232/(1024*1024)</f>
        <v>2228.619140625</v>
      </c>
      <c r="P232" s="245"/>
      <c r="Q232" s="245"/>
      <c r="R232" s="245"/>
      <c r="S232" s="240"/>
      <c r="T232" s="246"/>
      <c r="U232" s="247"/>
      <c r="V232" s="238"/>
    </row>
    <row r="233" spans="1:22" ht="25.5">
      <c r="A233" s="85" t="s">
        <v>327</v>
      </c>
      <c r="B233" s="86"/>
      <c r="C233" s="85" t="s">
        <v>282</v>
      </c>
      <c r="D233" s="87">
        <v>36240</v>
      </c>
      <c r="E233" s="88" t="s">
        <v>328</v>
      </c>
      <c r="F233" s="89">
        <v>0.004166666666666667</v>
      </c>
      <c r="G233" s="89">
        <v>0.013888888888888888</v>
      </c>
      <c r="H233" s="90">
        <f>SUM(G233+F233)</f>
        <v>0.018055555555555554</v>
      </c>
      <c r="I233" s="89"/>
      <c r="J233" s="91">
        <v>8</v>
      </c>
      <c r="K233" s="273">
        <v>12</v>
      </c>
      <c r="L233" s="92">
        <v>27</v>
      </c>
      <c r="M233" s="92">
        <v>4</v>
      </c>
      <c r="N233" s="92">
        <v>2.5</v>
      </c>
      <c r="O233" s="93">
        <f>K233*1625088/N233/(1024*1024)</f>
        <v>7.4390625</v>
      </c>
      <c r="P233" s="94">
        <f>O233*126.31/3600</f>
        <v>0.26100777343750003</v>
      </c>
      <c r="Q233" s="94">
        <f>O233*63/3600</f>
        <v>0.13018359375000002</v>
      </c>
      <c r="R233" s="94">
        <f>O233*42.139/3600</f>
        <v>0.08707629296875001</v>
      </c>
      <c r="S233" s="88" t="s">
        <v>331</v>
      </c>
      <c r="T233" s="94" t="s">
        <v>211</v>
      </c>
      <c r="U233" s="95" t="s">
        <v>27</v>
      </c>
      <c r="V233" s="85" t="s">
        <v>107</v>
      </c>
    </row>
    <row r="234" spans="1:22" ht="25.5">
      <c r="A234" s="22" t="s">
        <v>329</v>
      </c>
      <c r="B234" s="11"/>
      <c r="C234" s="22" t="s">
        <v>222</v>
      </c>
      <c r="D234" s="23">
        <v>36240</v>
      </c>
      <c r="E234" s="24" t="s">
        <v>328</v>
      </c>
      <c r="F234" s="25">
        <v>0.13333333333333333</v>
      </c>
      <c r="G234" s="25">
        <v>0.19652777777777777</v>
      </c>
      <c r="H234" s="26">
        <f>SUM(F234:G234)</f>
        <v>0.3298611111111111</v>
      </c>
      <c r="I234" s="25"/>
      <c r="J234" s="27">
        <v>12</v>
      </c>
      <c r="K234" s="277">
        <v>88</v>
      </c>
      <c r="L234" s="28">
        <v>24</v>
      </c>
      <c r="M234" s="23" t="s">
        <v>361</v>
      </c>
      <c r="N234" s="28">
        <v>1.5</v>
      </c>
      <c r="O234" s="29">
        <f>K234*1625088/N234/(1024*1024)</f>
        <v>90.921875</v>
      </c>
      <c r="P234" s="30">
        <f>O234*126.31/3600</f>
        <v>3.1900950086805557</v>
      </c>
      <c r="Q234" s="30">
        <f>N234*63/3600</f>
        <v>0.02625</v>
      </c>
      <c r="R234" s="30">
        <f>O234*42.139/3600</f>
        <v>1.064265802951389</v>
      </c>
      <c r="S234" s="24" t="s">
        <v>331</v>
      </c>
      <c r="T234" s="30" t="s">
        <v>211</v>
      </c>
      <c r="U234" s="31" t="s">
        <v>330</v>
      </c>
      <c r="V234" s="22" t="s">
        <v>107</v>
      </c>
    </row>
    <row r="235" spans="1:22" ht="12.75">
      <c r="A235" s="22"/>
      <c r="B235" s="11"/>
      <c r="C235" s="22"/>
      <c r="D235" s="23"/>
      <c r="E235" s="24"/>
      <c r="F235" s="25"/>
      <c r="G235" s="25"/>
      <c r="H235" s="26"/>
      <c r="I235" s="25"/>
      <c r="J235" s="27">
        <v>12</v>
      </c>
      <c r="K235" s="277">
        <v>110</v>
      </c>
      <c r="L235" s="28">
        <v>15</v>
      </c>
      <c r="M235" s="28" t="s">
        <v>362</v>
      </c>
      <c r="N235" s="28">
        <v>1.5</v>
      </c>
      <c r="O235" s="29">
        <f>K235*1625088/N235/(1024*1024)</f>
        <v>113.65234375</v>
      </c>
      <c r="P235" s="30">
        <f>O235*126.31/3600</f>
        <v>3.9876187608506948</v>
      </c>
      <c r="Q235" s="30">
        <f>O235*63/3600</f>
        <v>1.988916015625</v>
      </c>
      <c r="R235" s="30">
        <f>O235*42.139/3600</f>
        <v>1.3303322536892361</v>
      </c>
      <c r="S235" s="24" t="s">
        <v>331</v>
      </c>
      <c r="T235" s="30" t="s">
        <v>211</v>
      </c>
      <c r="U235" s="31" t="s">
        <v>212</v>
      </c>
      <c r="V235" s="22" t="s">
        <v>107</v>
      </c>
    </row>
    <row r="236" spans="1:22" ht="25.5">
      <c r="A236" s="97" t="s">
        <v>214</v>
      </c>
      <c r="B236" s="98"/>
      <c r="C236" s="97" t="s">
        <v>222</v>
      </c>
      <c r="D236" s="99">
        <v>36240</v>
      </c>
      <c r="E236" s="100" t="s">
        <v>328</v>
      </c>
      <c r="F236" s="101">
        <v>0.13333333333333333</v>
      </c>
      <c r="G236" s="101">
        <v>0.19652777777777777</v>
      </c>
      <c r="H236" s="102">
        <f>SUM(F236:G236)</f>
        <v>0.3298611111111111</v>
      </c>
      <c r="I236" s="101"/>
      <c r="J236" s="103"/>
      <c r="K236" s="278">
        <v>936</v>
      </c>
      <c r="L236" s="104">
        <v>3</v>
      </c>
      <c r="M236" s="104"/>
      <c r="N236" s="104"/>
      <c r="O236" s="107">
        <f>K236*2864/2.5/1000000</f>
        <v>1.0722816000000002</v>
      </c>
      <c r="P236" s="108">
        <f>O236*126.31/3600</f>
        <v>0.03762219136</v>
      </c>
      <c r="Q236" s="108">
        <f>O236*63/3600</f>
        <v>0.018764928000000004</v>
      </c>
      <c r="R236" s="108">
        <f>O236*42.139/3600</f>
        <v>0.012551353984000002</v>
      </c>
      <c r="S236" s="100" t="s">
        <v>331</v>
      </c>
      <c r="T236" s="105" t="s">
        <v>211</v>
      </c>
      <c r="U236" s="106" t="s">
        <v>332</v>
      </c>
      <c r="V236" s="97" t="s">
        <v>107</v>
      </c>
    </row>
    <row r="237" spans="1:22" ht="24.75" customHeight="1">
      <c r="A237" s="42" t="s">
        <v>333</v>
      </c>
      <c r="B237" s="41"/>
      <c r="C237" s="42" t="s">
        <v>222</v>
      </c>
      <c r="D237" s="43">
        <v>36606</v>
      </c>
      <c r="E237" s="44" t="s">
        <v>328</v>
      </c>
      <c r="F237" s="45">
        <v>0.3611111111111111</v>
      </c>
      <c r="G237" s="45">
        <v>0.05555555555555555</v>
      </c>
      <c r="H237" s="46">
        <f>SUM(F237:G237)</f>
        <v>0.41666666666666663</v>
      </c>
      <c r="I237" s="45"/>
      <c r="J237" s="47">
        <v>8</v>
      </c>
      <c r="K237" s="272">
        <v>140</v>
      </c>
      <c r="L237" s="48">
        <v>1</v>
      </c>
      <c r="M237" s="48">
        <v>4</v>
      </c>
      <c r="N237" s="48">
        <v>2.8</v>
      </c>
      <c r="O237" s="49">
        <f>K237*1625088/N237/(1024*1024)</f>
        <v>77.490234375</v>
      </c>
      <c r="P237" s="50">
        <f>O237*126.31/3600</f>
        <v>2.7188309733072917</v>
      </c>
      <c r="Q237" s="50">
        <f>O237*63/3600</f>
        <v>1.3560791015625</v>
      </c>
      <c r="R237" s="50">
        <f>O237*42.139/3600</f>
        <v>0.9070447184244793</v>
      </c>
      <c r="S237" s="44" t="s">
        <v>331</v>
      </c>
      <c r="T237" s="50" t="s">
        <v>211</v>
      </c>
      <c r="U237" s="51" t="s">
        <v>76</v>
      </c>
      <c r="V237" s="42" t="s">
        <v>107</v>
      </c>
    </row>
    <row r="238" spans="1:22" ht="24.75" customHeight="1">
      <c r="A238" s="42" t="s">
        <v>77</v>
      </c>
      <c r="B238" s="41"/>
      <c r="C238" s="42" t="s">
        <v>222</v>
      </c>
      <c r="D238" s="43">
        <v>36606</v>
      </c>
      <c r="E238" s="44" t="s">
        <v>328</v>
      </c>
      <c r="F238" s="45">
        <v>0.4513888888888889</v>
      </c>
      <c r="G238" s="45">
        <v>0.05555555555555555</v>
      </c>
      <c r="H238" s="46">
        <f>SUM(F238:G238)</f>
        <v>0.5069444444444444</v>
      </c>
      <c r="I238" s="45"/>
      <c r="J238" s="47">
        <v>8</v>
      </c>
      <c r="K238" s="272">
        <v>140</v>
      </c>
      <c r="L238" s="48">
        <v>1</v>
      </c>
      <c r="M238" s="48">
        <v>4</v>
      </c>
      <c r="N238" s="48">
        <v>2.8</v>
      </c>
      <c r="O238" s="49">
        <f>K238*1625088/N238/(1024*1024)</f>
        <v>77.490234375</v>
      </c>
      <c r="P238" s="50">
        <f>O238*126.31/3600</f>
        <v>2.7188309733072917</v>
      </c>
      <c r="Q238" s="50">
        <f>O238*63/3600</f>
        <v>1.3560791015625</v>
      </c>
      <c r="R238" s="50">
        <f>O238*42.139/3600</f>
        <v>0.9070447184244793</v>
      </c>
      <c r="S238" s="44" t="s">
        <v>331</v>
      </c>
      <c r="T238" s="50" t="s">
        <v>211</v>
      </c>
      <c r="U238" s="51" t="s">
        <v>76</v>
      </c>
      <c r="V238" s="42" t="s">
        <v>107</v>
      </c>
    </row>
    <row r="239" spans="1:22" ht="21" customHeight="1">
      <c r="A239" s="121" t="s">
        <v>78</v>
      </c>
      <c r="B239" s="122"/>
      <c r="C239" s="123" t="s">
        <v>282</v>
      </c>
      <c r="D239" s="182">
        <v>36240</v>
      </c>
      <c r="E239" s="183" t="s">
        <v>328</v>
      </c>
      <c r="F239" s="126">
        <v>0.5416666666666666</v>
      </c>
      <c r="G239" s="126">
        <v>0.017361111111111112</v>
      </c>
      <c r="H239" s="126">
        <f>SUM(F239:G239)</f>
        <v>0.5590277777777778</v>
      </c>
      <c r="I239" s="122"/>
      <c r="J239" s="127">
        <v>12</v>
      </c>
      <c r="K239" s="263">
        <v>4</v>
      </c>
      <c r="L239" s="122">
        <v>29</v>
      </c>
      <c r="M239" s="122">
        <v>0</v>
      </c>
      <c r="N239" s="122">
        <v>2.5</v>
      </c>
      <c r="O239" s="128">
        <f>K239*1625088/N239/(1024*1024)</f>
        <v>2.4796875</v>
      </c>
      <c r="P239" s="189">
        <f>N239*63/3600</f>
        <v>0.04375</v>
      </c>
      <c r="Q239" s="129">
        <f>O239*63/3600</f>
        <v>0.04339453124999999</v>
      </c>
      <c r="R239" s="129">
        <f>O239*42.139/3600</f>
        <v>0.02902543098958333</v>
      </c>
      <c r="S239" s="183" t="s">
        <v>331</v>
      </c>
      <c r="T239" s="130" t="s">
        <v>37</v>
      </c>
      <c r="U239" s="216" t="s">
        <v>305</v>
      </c>
      <c r="V239" s="85" t="s">
        <v>107</v>
      </c>
    </row>
    <row r="240" spans="1:22" ht="25.5">
      <c r="A240" s="85" t="s">
        <v>79</v>
      </c>
      <c r="B240" s="86"/>
      <c r="C240" s="85" t="s">
        <v>282</v>
      </c>
      <c r="D240" s="87">
        <v>36240</v>
      </c>
      <c r="E240" s="88" t="s">
        <v>328</v>
      </c>
      <c r="F240" s="89">
        <v>0.5625</v>
      </c>
      <c r="G240" s="89">
        <v>0.013888888888888888</v>
      </c>
      <c r="H240" s="90">
        <f>SUM(G240+F240)</f>
        <v>0.5763888888888888</v>
      </c>
      <c r="I240" s="89"/>
      <c r="J240" s="91">
        <v>8</v>
      </c>
      <c r="K240" s="273">
        <v>9</v>
      </c>
      <c r="L240" s="92">
        <v>18</v>
      </c>
      <c r="M240" s="92">
        <v>4</v>
      </c>
      <c r="N240" s="92">
        <v>3</v>
      </c>
      <c r="O240" s="93">
        <f>K240*1625088/N240/(1024*1024)</f>
        <v>4.6494140625</v>
      </c>
      <c r="P240" s="94">
        <f>O240*126.31/3600</f>
        <v>0.16312985839843752</v>
      </c>
      <c r="Q240" s="94">
        <f>O240*63/3600</f>
        <v>0.08136474609375</v>
      </c>
      <c r="R240" s="94">
        <f>O240*42.139/3600</f>
        <v>0.05442268310546875</v>
      </c>
      <c r="S240" s="88" t="s">
        <v>331</v>
      </c>
      <c r="T240" s="94" t="s">
        <v>211</v>
      </c>
      <c r="U240" s="95" t="s">
        <v>19</v>
      </c>
      <c r="V240" s="85" t="s">
        <v>107</v>
      </c>
    </row>
    <row r="241" spans="1:22" ht="12.75">
      <c r="A241" s="191" t="s">
        <v>35</v>
      </c>
      <c r="B241" s="52">
        <v>43</v>
      </c>
      <c r="C241" s="53"/>
      <c r="D241" s="54">
        <v>36240</v>
      </c>
      <c r="E241" s="55" t="s">
        <v>328</v>
      </c>
      <c r="F241" s="56">
        <v>0.6006944444444444</v>
      </c>
      <c r="G241" s="56">
        <v>0.2638888888888889</v>
      </c>
      <c r="H241" s="57">
        <f>SUM(F241:G241)</f>
        <v>0.8645833333333333</v>
      </c>
      <c r="I241" s="58"/>
      <c r="J241" s="59"/>
      <c r="K241" s="275"/>
      <c r="L241" s="58"/>
      <c r="M241" s="58"/>
      <c r="N241" s="58"/>
      <c r="O241" s="60">
        <f>SUM(O233:O240)</f>
        <v>375.1951331625</v>
      </c>
      <c r="P241" s="60">
        <f>SUM(P233:P240)</f>
        <v>13.12088553934177</v>
      </c>
      <c r="Q241" s="60">
        <f>SUM(Q233:Q240)</f>
        <v>5.00103201784375</v>
      </c>
      <c r="R241" s="60">
        <f>SUM(R233:R240)</f>
        <v>4.391763254537386</v>
      </c>
      <c r="S241" s="55"/>
      <c r="T241" s="60"/>
      <c r="U241" s="61"/>
      <c r="V241" s="53"/>
    </row>
    <row r="242" spans="1:22" ht="25.5">
      <c r="A242" s="85" t="s">
        <v>80</v>
      </c>
      <c r="B242" s="86"/>
      <c r="C242" s="85" t="s">
        <v>282</v>
      </c>
      <c r="D242" s="87">
        <v>36240</v>
      </c>
      <c r="E242" s="88" t="s">
        <v>328</v>
      </c>
      <c r="F242" s="89">
        <v>0.8576388888888888</v>
      </c>
      <c r="G242" s="89">
        <v>0.013888888888888888</v>
      </c>
      <c r="H242" s="90">
        <f>SUM(G242+F242)</f>
        <v>0.8715277777777777</v>
      </c>
      <c r="I242" s="89"/>
      <c r="J242" s="91">
        <v>8</v>
      </c>
      <c r="K242" s="273">
        <v>15</v>
      </c>
      <c r="L242" s="92">
        <v>18</v>
      </c>
      <c r="M242" s="92">
        <v>4</v>
      </c>
      <c r="N242" s="92">
        <v>3</v>
      </c>
      <c r="O242" s="93">
        <f>K242*1625088/N242/(1024*1024)</f>
        <v>7.7490234375</v>
      </c>
      <c r="P242" s="94">
        <f>O242*126.31/3600</f>
        <v>0.2718830973307292</v>
      </c>
      <c r="Q242" s="94">
        <f>O242*63/3600</f>
        <v>0.13560791015625</v>
      </c>
      <c r="R242" s="94">
        <f>O242*42.139/3600</f>
        <v>0.09070447184244793</v>
      </c>
      <c r="S242" s="88" t="s">
        <v>331</v>
      </c>
      <c r="T242" s="94" t="s">
        <v>211</v>
      </c>
      <c r="U242" s="95" t="s">
        <v>30</v>
      </c>
      <c r="V242" s="85" t="s">
        <v>107</v>
      </c>
    </row>
    <row r="243" spans="1:22" ht="24.75" customHeight="1">
      <c r="A243" s="42" t="s">
        <v>81</v>
      </c>
      <c r="B243" s="41"/>
      <c r="C243" s="42" t="s">
        <v>222</v>
      </c>
      <c r="D243" s="43">
        <v>36606</v>
      </c>
      <c r="E243" s="44" t="s">
        <v>328</v>
      </c>
      <c r="F243" s="45">
        <v>0.9791666666666666</v>
      </c>
      <c r="G243" s="45">
        <v>0.23263888888888887</v>
      </c>
      <c r="H243" s="46">
        <f>SUM(F243:G243)</f>
        <v>1.2118055555555556</v>
      </c>
      <c r="I243" s="45"/>
      <c r="J243" s="47">
        <v>8</v>
      </c>
      <c r="K243" s="272">
        <v>651</v>
      </c>
      <c r="L243" s="48">
        <v>1</v>
      </c>
      <c r="M243" s="48">
        <v>4</v>
      </c>
      <c r="N243" s="48">
        <v>2.8</v>
      </c>
      <c r="O243" s="49">
        <f>K243*1625088/N243/(1024*1024)</f>
        <v>360.32958984375</v>
      </c>
      <c r="P243" s="50">
        <f>O243*126.31/3600</f>
        <v>12.642564025878906</v>
      </c>
      <c r="Q243" s="50">
        <f>O243*63/3600</f>
        <v>6.305767822265625</v>
      </c>
      <c r="R243" s="50">
        <f>O243*42.139/3600</f>
        <v>4.217757940673828</v>
      </c>
      <c r="S243" s="44" t="s">
        <v>331</v>
      </c>
      <c r="T243" s="50" t="s">
        <v>211</v>
      </c>
      <c r="U243" s="51" t="s">
        <v>76</v>
      </c>
      <c r="V243" s="42" t="s">
        <v>107</v>
      </c>
    </row>
    <row r="244" spans="1:22" ht="21" customHeight="1">
      <c r="A244" s="121" t="s">
        <v>82</v>
      </c>
      <c r="B244" s="122"/>
      <c r="C244" s="123" t="s">
        <v>282</v>
      </c>
      <c r="D244" s="182">
        <v>36241</v>
      </c>
      <c r="E244" s="183" t="s">
        <v>83</v>
      </c>
      <c r="F244" s="126">
        <v>0.21319444444444444</v>
      </c>
      <c r="G244" s="126">
        <v>0.017361111111111112</v>
      </c>
      <c r="H244" s="126">
        <f>SUM(F244:G244)</f>
        <v>0.23055555555555554</v>
      </c>
      <c r="I244" s="122"/>
      <c r="J244" s="127">
        <v>12</v>
      </c>
      <c r="K244" s="263">
        <v>4</v>
      </c>
      <c r="L244" s="122">
        <v>29</v>
      </c>
      <c r="M244" s="122">
        <v>0</v>
      </c>
      <c r="N244" s="122">
        <v>2.5</v>
      </c>
      <c r="O244" s="128">
        <f>K244*1625088/N244/(1024*1024)</f>
        <v>2.4796875</v>
      </c>
      <c r="P244" s="189">
        <f>N244*63/3600</f>
        <v>0.04375</v>
      </c>
      <c r="Q244" s="129">
        <f>O244*63/3600</f>
        <v>0.04339453124999999</v>
      </c>
      <c r="R244" s="129">
        <f>O244*42.139/3600</f>
        <v>0.02902543098958333</v>
      </c>
      <c r="S244" s="183" t="s">
        <v>331</v>
      </c>
      <c r="T244" s="130" t="s">
        <v>37</v>
      </c>
      <c r="U244" s="216" t="s">
        <v>305</v>
      </c>
      <c r="V244" s="85" t="s">
        <v>107</v>
      </c>
    </row>
    <row r="245" spans="1:22" ht="25.5">
      <c r="A245" s="85" t="s">
        <v>84</v>
      </c>
      <c r="B245" s="86"/>
      <c r="C245" s="85" t="s">
        <v>282</v>
      </c>
      <c r="D245" s="87">
        <v>36241</v>
      </c>
      <c r="E245" s="88" t="s">
        <v>83</v>
      </c>
      <c r="F245" s="89">
        <v>0.2333333333333333</v>
      </c>
      <c r="G245" s="89">
        <v>0.013888888888888888</v>
      </c>
      <c r="H245" s="90">
        <f>SUM(G245+F245)</f>
        <v>0.2472222222222222</v>
      </c>
      <c r="I245" s="89"/>
      <c r="J245" s="91">
        <v>8</v>
      </c>
      <c r="K245" s="273">
        <v>12</v>
      </c>
      <c r="L245" s="92">
        <v>18</v>
      </c>
      <c r="M245" s="92">
        <v>4</v>
      </c>
      <c r="N245" s="92">
        <v>3</v>
      </c>
      <c r="O245" s="93">
        <f>K245*1625088/N245/(1024*1024)</f>
        <v>6.19921875</v>
      </c>
      <c r="P245" s="94">
        <f>O245*126.31/3600</f>
        <v>0.21750647786458333</v>
      </c>
      <c r="Q245" s="94">
        <f>O245*63/3600</f>
        <v>0.108486328125</v>
      </c>
      <c r="R245" s="94">
        <f>O245*42.139/3600</f>
        <v>0.07256357747395835</v>
      </c>
      <c r="S245" s="88" t="s">
        <v>331</v>
      </c>
      <c r="T245" s="94" t="s">
        <v>211</v>
      </c>
      <c r="U245" s="95" t="s">
        <v>20</v>
      </c>
      <c r="V245" s="85" t="s">
        <v>107</v>
      </c>
    </row>
    <row r="246" spans="1:22" ht="39" customHeight="1">
      <c r="A246" s="42" t="s">
        <v>85</v>
      </c>
      <c r="B246" s="41"/>
      <c r="C246" s="42" t="s">
        <v>222</v>
      </c>
      <c r="D246" s="43">
        <v>36607</v>
      </c>
      <c r="E246" s="44" t="s">
        <v>83</v>
      </c>
      <c r="F246" s="45">
        <v>0.25069444444444444</v>
      </c>
      <c r="G246" s="45">
        <v>0.05555555555555555</v>
      </c>
      <c r="H246" s="46">
        <f>SUM(F246:G246)</f>
        <v>0.30625</v>
      </c>
      <c r="I246" s="45"/>
      <c r="J246" s="47">
        <v>8</v>
      </c>
      <c r="K246" s="272">
        <v>265</v>
      </c>
      <c r="L246" s="48">
        <v>18</v>
      </c>
      <c r="M246" s="48">
        <v>4</v>
      </c>
      <c r="N246" s="48">
        <v>2.8</v>
      </c>
      <c r="O246" s="49">
        <f>K246*1625088/N246/(1024*1024)</f>
        <v>146.67794363839286</v>
      </c>
      <c r="P246" s="50">
        <f>O246*126.31/3600</f>
        <v>5.146358628045945</v>
      </c>
      <c r="Q246" s="50">
        <f>O246*63/3600</f>
        <v>2.566864013671875</v>
      </c>
      <c r="R246" s="50">
        <f>O246*42.139/3600</f>
        <v>1.7169060741606215</v>
      </c>
      <c r="S246" s="44" t="s">
        <v>331</v>
      </c>
      <c r="T246" s="50" t="s">
        <v>211</v>
      </c>
      <c r="U246" s="51" t="s">
        <v>38</v>
      </c>
      <c r="V246" s="42" t="s">
        <v>107</v>
      </c>
    </row>
    <row r="247" spans="1:22" ht="25.5">
      <c r="A247" s="85" t="s">
        <v>86</v>
      </c>
      <c r="B247" s="86"/>
      <c r="C247" s="85" t="s">
        <v>282</v>
      </c>
      <c r="D247" s="87">
        <v>36241</v>
      </c>
      <c r="E247" s="88" t="s">
        <v>83</v>
      </c>
      <c r="F247" s="89">
        <v>0.5631944444444444</v>
      </c>
      <c r="G247" s="89">
        <v>0.013888888888888888</v>
      </c>
      <c r="H247" s="90">
        <f>SUM(G247+F247)</f>
        <v>0.5770833333333333</v>
      </c>
      <c r="I247" s="89"/>
      <c r="J247" s="91">
        <v>8</v>
      </c>
      <c r="K247" s="273">
        <v>12</v>
      </c>
      <c r="L247" s="92">
        <v>18</v>
      </c>
      <c r="M247" s="92">
        <v>4</v>
      </c>
      <c r="N247" s="92">
        <v>3</v>
      </c>
      <c r="O247" s="93">
        <f>K247*1625088/N247/(1024*1024)</f>
        <v>6.19921875</v>
      </c>
      <c r="P247" s="94">
        <f>O247*126.31/3600</f>
        <v>0.21750647786458333</v>
      </c>
      <c r="Q247" s="94">
        <f>O247*63/3600</f>
        <v>0.108486328125</v>
      </c>
      <c r="R247" s="94">
        <f>O247*42.139/3600</f>
        <v>0.07256357747395835</v>
      </c>
      <c r="S247" s="88" t="s">
        <v>331</v>
      </c>
      <c r="T247" s="94" t="s">
        <v>211</v>
      </c>
      <c r="U247" s="95" t="s">
        <v>20</v>
      </c>
      <c r="V247" s="85" t="s">
        <v>107</v>
      </c>
    </row>
    <row r="248" spans="1:22" ht="12.75">
      <c r="A248" s="191" t="s">
        <v>35</v>
      </c>
      <c r="B248" s="52">
        <v>43</v>
      </c>
      <c r="C248" s="53"/>
      <c r="D248" s="54">
        <v>36241</v>
      </c>
      <c r="E248" s="55" t="s">
        <v>83</v>
      </c>
      <c r="F248" s="56">
        <v>0.5972222222222222</v>
      </c>
      <c r="G248" s="56">
        <v>0.3506944444444444</v>
      </c>
      <c r="H248" s="57">
        <f>SUM(F248:G248)</f>
        <v>0.9479166666666666</v>
      </c>
      <c r="I248" s="58"/>
      <c r="J248" s="59"/>
      <c r="K248" s="275"/>
      <c r="L248" s="62"/>
      <c r="M248" s="58"/>
      <c r="N248" s="58"/>
      <c r="O248" s="60">
        <f>SUM(O242:O247)</f>
        <v>529.6346819196428</v>
      </c>
      <c r="P248" s="60">
        <f>SUM(P242:P247)</f>
        <v>18.539568706984745</v>
      </c>
      <c r="Q248" s="60">
        <f>SUM(Q242:Q247)</f>
        <v>9.26860693359375</v>
      </c>
      <c r="R248" s="60">
        <f>SUM(R242:R247)</f>
        <v>6.199521072614398</v>
      </c>
      <c r="S248" s="55"/>
      <c r="T248" s="60"/>
      <c r="U248" s="61"/>
      <c r="V248" s="53"/>
    </row>
    <row r="249" spans="1:22" ht="25.5">
      <c r="A249" s="85" t="s">
        <v>87</v>
      </c>
      <c r="B249" s="86"/>
      <c r="C249" s="85" t="s">
        <v>282</v>
      </c>
      <c r="D249" s="87">
        <v>36241</v>
      </c>
      <c r="E249" s="88" t="s">
        <v>83</v>
      </c>
      <c r="F249" s="89">
        <v>0.9416666666666668</v>
      </c>
      <c r="G249" s="89">
        <v>0.013888888888888888</v>
      </c>
      <c r="H249" s="90">
        <f>SUM(G249+F249)</f>
        <v>0.9555555555555556</v>
      </c>
      <c r="I249" s="89"/>
      <c r="J249" s="91">
        <v>8</v>
      </c>
      <c r="K249" s="273">
        <v>9</v>
      </c>
      <c r="L249" s="92">
        <v>18</v>
      </c>
      <c r="M249" s="92">
        <v>4</v>
      </c>
      <c r="N249" s="92">
        <v>3</v>
      </c>
      <c r="O249" s="93">
        <f>K249*1625088/N249/(1024*1024)</f>
        <v>4.6494140625</v>
      </c>
      <c r="P249" s="94">
        <f>O249*126.31/3600</f>
        <v>0.16312985839843752</v>
      </c>
      <c r="Q249" s="94">
        <f>O249*63/3600</f>
        <v>0.08136474609375</v>
      </c>
      <c r="R249" s="94">
        <f>O249*42.139/3600</f>
        <v>0.05442268310546875</v>
      </c>
      <c r="S249" s="88" t="s">
        <v>331</v>
      </c>
      <c r="T249" s="94" t="s">
        <v>211</v>
      </c>
      <c r="U249" s="95" t="s">
        <v>19</v>
      </c>
      <c r="V249" s="85" t="s">
        <v>107</v>
      </c>
    </row>
    <row r="250" spans="1:22" ht="24.75" customHeight="1">
      <c r="A250" s="42" t="s">
        <v>248</v>
      </c>
      <c r="B250" s="41"/>
      <c r="C250" s="42" t="s">
        <v>222</v>
      </c>
      <c r="D250" s="43">
        <v>36608</v>
      </c>
      <c r="E250" s="44" t="s">
        <v>89</v>
      </c>
      <c r="F250" s="45">
        <v>0.31319444444444444</v>
      </c>
      <c r="G250" s="45">
        <v>0.23263888888888887</v>
      </c>
      <c r="H250" s="46">
        <f>SUM(F250:G250)</f>
        <v>0.5458333333333333</v>
      </c>
      <c r="I250" s="45"/>
      <c r="J250" s="47">
        <v>8</v>
      </c>
      <c r="K250" s="272">
        <v>743</v>
      </c>
      <c r="L250" s="48">
        <v>1</v>
      </c>
      <c r="M250" s="48">
        <v>4</v>
      </c>
      <c r="N250" s="48">
        <v>2.8</v>
      </c>
      <c r="O250" s="49">
        <f>K250*1625088/N250/(1024*1024)</f>
        <v>411.25174386160717</v>
      </c>
      <c r="P250" s="50">
        <f>O250*126.31/3600</f>
        <v>14.429224379766557</v>
      </c>
      <c r="Q250" s="50">
        <f>O250*63/3600</f>
        <v>7.196905517578125</v>
      </c>
      <c r="R250" s="50">
        <f>O250*42.139/3600</f>
        <v>4.81381589849563</v>
      </c>
      <c r="S250" s="44" t="s">
        <v>331</v>
      </c>
      <c r="T250" s="50" t="s">
        <v>211</v>
      </c>
      <c r="U250" s="51" t="s">
        <v>76</v>
      </c>
      <c r="V250" s="42" t="s">
        <v>107</v>
      </c>
    </row>
    <row r="251" spans="1:22" ht="21" customHeight="1">
      <c r="A251" s="121" t="s">
        <v>88</v>
      </c>
      <c r="B251" s="122"/>
      <c r="C251" s="123" t="s">
        <v>282</v>
      </c>
      <c r="D251" s="182">
        <v>36242</v>
      </c>
      <c r="E251" s="183" t="s">
        <v>89</v>
      </c>
      <c r="F251" s="126">
        <v>0.548611111111111</v>
      </c>
      <c r="G251" s="126">
        <v>0.017361111111111112</v>
      </c>
      <c r="H251" s="126">
        <f>SUM(F251:G251)</f>
        <v>0.5659722222222222</v>
      </c>
      <c r="I251" s="122"/>
      <c r="J251" s="127">
        <v>12</v>
      </c>
      <c r="K251" s="263">
        <v>4</v>
      </c>
      <c r="L251" s="122">
        <v>29</v>
      </c>
      <c r="M251" s="122">
        <v>0</v>
      </c>
      <c r="N251" s="122">
        <v>2.5</v>
      </c>
      <c r="O251" s="128">
        <f>K251*1625088/N251/(1024*1024)</f>
        <v>2.4796875</v>
      </c>
      <c r="P251" s="189">
        <f>N251*63/3600</f>
        <v>0.04375</v>
      </c>
      <c r="Q251" s="129">
        <f>O251*63/3600</f>
        <v>0.04339453124999999</v>
      </c>
      <c r="R251" s="129">
        <f>O251*42.139/3600</f>
        <v>0.02902543098958333</v>
      </c>
      <c r="S251" s="183" t="s">
        <v>331</v>
      </c>
      <c r="T251" s="130" t="s">
        <v>37</v>
      </c>
      <c r="U251" s="216" t="s">
        <v>305</v>
      </c>
      <c r="V251" s="85" t="s">
        <v>107</v>
      </c>
    </row>
    <row r="252" spans="1:22" ht="25.5">
      <c r="A252" s="85" t="s">
        <v>249</v>
      </c>
      <c r="B252" s="86"/>
      <c r="C252" s="85" t="s">
        <v>282</v>
      </c>
      <c r="D252" s="87">
        <v>36242</v>
      </c>
      <c r="E252" s="88" t="s">
        <v>89</v>
      </c>
      <c r="F252" s="89">
        <v>0.5576388888888889</v>
      </c>
      <c r="G252" s="89">
        <v>0.013888888888888888</v>
      </c>
      <c r="H252" s="90">
        <f>SUM(G252+F252)</f>
        <v>0.5715277777777777</v>
      </c>
      <c r="I252" s="89" t="s">
        <v>287</v>
      </c>
      <c r="J252" s="91">
        <v>8</v>
      </c>
      <c r="K252" s="273">
        <v>9</v>
      </c>
      <c r="L252" s="92">
        <v>27</v>
      </c>
      <c r="M252" s="92">
        <v>4</v>
      </c>
      <c r="N252" s="92">
        <v>2.5</v>
      </c>
      <c r="O252" s="93">
        <f aca="true" t="shared" si="53" ref="O252:O263">K252*1625088/N252/(1024*1024)</f>
        <v>5.579296875</v>
      </c>
      <c r="P252" s="94">
        <f>O252*126.31/3600</f>
        <v>0.195755830078125</v>
      </c>
      <c r="Q252" s="94">
        <f aca="true" t="shared" si="54" ref="Q252:Q263">O252*63/3600</f>
        <v>0.0976376953125</v>
      </c>
      <c r="R252" s="94">
        <f aca="true" t="shared" si="55" ref="R252:R263">O252*42.139/3600</f>
        <v>0.0653072197265625</v>
      </c>
      <c r="S252" s="88" t="s">
        <v>331</v>
      </c>
      <c r="T252" s="94" t="s">
        <v>211</v>
      </c>
      <c r="U252" s="95" t="s">
        <v>19</v>
      </c>
      <c r="V252" s="85" t="s">
        <v>107</v>
      </c>
    </row>
    <row r="253" spans="1:22" ht="12.75">
      <c r="A253" s="191" t="s">
        <v>35</v>
      </c>
      <c r="B253" s="52">
        <v>43</v>
      </c>
      <c r="C253" s="53"/>
      <c r="D253" s="54">
        <v>36242</v>
      </c>
      <c r="E253" s="55" t="s">
        <v>89</v>
      </c>
      <c r="F253" s="56">
        <v>0.607638888888889</v>
      </c>
      <c r="G253" s="56">
        <v>0.34027777777777773</v>
      </c>
      <c r="H253" s="57">
        <f>SUM(F253:G253)</f>
        <v>0.9479166666666667</v>
      </c>
      <c r="I253" s="58"/>
      <c r="J253" s="59"/>
      <c r="K253" s="275"/>
      <c r="L253" s="58"/>
      <c r="M253" s="58"/>
      <c r="N253" s="58"/>
      <c r="O253" s="60">
        <f>SUM(O249:O252)</f>
        <v>423.9601422991072</v>
      </c>
      <c r="P253" s="60">
        <f>SUM(P249:P252)</f>
        <v>14.83186006824312</v>
      </c>
      <c r="Q253" s="60">
        <f>SUM(Q249:Q252)</f>
        <v>7.419302490234375</v>
      </c>
      <c r="R253" s="60">
        <f>SUM(R249:R252)</f>
        <v>4.962571232317245</v>
      </c>
      <c r="S253" s="55"/>
      <c r="T253" s="60"/>
      <c r="U253" s="61"/>
      <c r="V253" s="53"/>
    </row>
    <row r="254" spans="1:22" ht="25.5">
      <c r="A254" s="85" t="s">
        <v>34</v>
      </c>
      <c r="B254" s="86"/>
      <c r="C254" s="85" t="s">
        <v>282</v>
      </c>
      <c r="D254" s="87">
        <v>36242</v>
      </c>
      <c r="E254" s="88" t="s">
        <v>89</v>
      </c>
      <c r="F254" s="89">
        <v>0.9416666666666668</v>
      </c>
      <c r="G254" s="89">
        <v>0.013888888888888888</v>
      </c>
      <c r="H254" s="90">
        <f>SUM(G254+F254)</f>
        <v>0.9555555555555556</v>
      </c>
      <c r="I254" s="89"/>
      <c r="J254" s="91">
        <v>8</v>
      </c>
      <c r="K254" s="273">
        <v>9</v>
      </c>
      <c r="L254" s="92">
        <v>18</v>
      </c>
      <c r="M254" s="92">
        <v>4</v>
      </c>
      <c r="N254" s="92">
        <v>3</v>
      </c>
      <c r="O254" s="93">
        <f t="shared" si="53"/>
        <v>4.6494140625</v>
      </c>
      <c r="P254" s="94">
        <f>O254*126.31/3600</f>
        <v>0.16312985839843752</v>
      </c>
      <c r="Q254" s="94">
        <f t="shared" si="54"/>
        <v>0.08136474609375</v>
      </c>
      <c r="R254" s="94">
        <f t="shared" si="55"/>
        <v>0.05442268310546875</v>
      </c>
      <c r="S254" s="88" t="s">
        <v>331</v>
      </c>
      <c r="T254" s="94" t="s">
        <v>211</v>
      </c>
      <c r="U254" s="95" t="s">
        <v>19</v>
      </c>
      <c r="V254" s="85" t="s">
        <v>107</v>
      </c>
    </row>
    <row r="255" spans="1:22" ht="24.75" customHeight="1">
      <c r="A255" s="42" t="s">
        <v>90</v>
      </c>
      <c r="B255" s="41"/>
      <c r="C255" s="42" t="s">
        <v>222</v>
      </c>
      <c r="D255" s="43">
        <v>36608</v>
      </c>
      <c r="E255" s="44" t="s">
        <v>89</v>
      </c>
      <c r="F255" s="45">
        <v>0.9756944444444445</v>
      </c>
      <c r="G255" s="45">
        <v>0.23263888888888887</v>
      </c>
      <c r="H255" s="46">
        <f>SUM(F255:G255)</f>
        <v>1.2083333333333335</v>
      </c>
      <c r="I255" s="45"/>
      <c r="J255" s="47">
        <v>8</v>
      </c>
      <c r="K255" s="272">
        <v>447</v>
      </c>
      <c r="L255" s="48">
        <v>18</v>
      </c>
      <c r="M255" s="48">
        <v>4</v>
      </c>
      <c r="N255" s="48">
        <v>3</v>
      </c>
      <c r="O255" s="49">
        <f t="shared" si="53"/>
        <v>230.9208984375</v>
      </c>
      <c r="P255" s="50">
        <f>O255*126.31/3600</f>
        <v>8.10211630045573</v>
      </c>
      <c r="Q255" s="50">
        <f t="shared" si="54"/>
        <v>4.04111572265625</v>
      </c>
      <c r="R255" s="50">
        <f t="shared" si="55"/>
        <v>2.702993260904948</v>
      </c>
      <c r="S255" s="44" t="s">
        <v>331</v>
      </c>
      <c r="T255" s="50" t="s">
        <v>211</v>
      </c>
      <c r="U255" s="51" t="s">
        <v>384</v>
      </c>
      <c r="V255" s="42" t="s">
        <v>107</v>
      </c>
    </row>
    <row r="256" spans="1:22" ht="12.75">
      <c r="A256" s="191" t="s">
        <v>35</v>
      </c>
      <c r="B256" s="52">
        <v>43</v>
      </c>
      <c r="C256" s="53"/>
      <c r="D256" s="54">
        <v>36243</v>
      </c>
      <c r="E256" s="55" t="s">
        <v>92</v>
      </c>
      <c r="F256" s="56">
        <v>0.20833333333333334</v>
      </c>
      <c r="G256" s="56">
        <v>0.23263888888888887</v>
      </c>
      <c r="H256" s="57">
        <f>SUM(F256:G256)</f>
        <v>0.4409722222222222</v>
      </c>
      <c r="I256" s="58"/>
      <c r="J256" s="59"/>
      <c r="K256" s="275"/>
      <c r="L256" s="58"/>
      <c r="M256" s="58"/>
      <c r="N256" s="58"/>
      <c r="O256" s="60">
        <f>SUM(O254:O255)</f>
        <v>235.5703125</v>
      </c>
      <c r="P256" s="60">
        <f>SUM(P254:P255)</f>
        <v>8.265246158854168</v>
      </c>
      <c r="Q256" s="60">
        <f>SUM(Q254:Q255)</f>
        <v>4.12248046875</v>
      </c>
      <c r="R256" s="60">
        <f>SUM(R254:R255)</f>
        <v>2.757415944010417</v>
      </c>
      <c r="S256" s="55"/>
      <c r="T256" s="60"/>
      <c r="U256" s="61"/>
      <c r="V256" s="53"/>
    </row>
    <row r="257" spans="1:22" ht="12.75">
      <c r="A257" s="192" t="s">
        <v>201</v>
      </c>
      <c r="B257" s="65"/>
      <c r="C257" s="64"/>
      <c r="D257" s="66">
        <v>36243</v>
      </c>
      <c r="E257" s="67" t="s">
        <v>92</v>
      </c>
      <c r="F257" s="68">
        <v>0.22916666666666666</v>
      </c>
      <c r="G257" s="68"/>
      <c r="H257" s="69"/>
      <c r="I257" s="71"/>
      <c r="J257" s="70"/>
      <c r="K257" s="276"/>
      <c r="L257" s="71"/>
      <c r="M257" s="71"/>
      <c r="N257" s="71"/>
      <c r="O257" s="72"/>
      <c r="P257" s="73"/>
      <c r="Q257" s="73"/>
      <c r="R257" s="73"/>
      <c r="S257" s="67"/>
      <c r="T257" s="73"/>
      <c r="U257" s="74"/>
      <c r="V257" s="64"/>
    </row>
    <row r="258" spans="1:22" ht="25.5">
      <c r="A258" s="85" t="s">
        <v>91</v>
      </c>
      <c r="B258" s="86"/>
      <c r="C258" s="85" t="s">
        <v>282</v>
      </c>
      <c r="D258" s="87">
        <v>36243</v>
      </c>
      <c r="E258" s="88" t="s">
        <v>92</v>
      </c>
      <c r="F258" s="89">
        <v>0.40972222222222227</v>
      </c>
      <c r="G258" s="89">
        <v>0.013888888888888888</v>
      </c>
      <c r="H258" s="90">
        <f>SUM(G258+F258)</f>
        <v>0.42361111111111116</v>
      </c>
      <c r="I258" s="89"/>
      <c r="J258" s="91">
        <v>8</v>
      </c>
      <c r="K258" s="273">
        <v>12</v>
      </c>
      <c r="L258" s="92">
        <v>27</v>
      </c>
      <c r="M258" s="92">
        <v>4</v>
      </c>
      <c r="N258" s="92">
        <v>2.5</v>
      </c>
      <c r="O258" s="93">
        <f t="shared" si="53"/>
        <v>7.4390625</v>
      </c>
      <c r="P258" s="94">
        <f aca="true" t="shared" si="56" ref="P258:P263">O258*126.31/3600</f>
        <v>0.26100777343750003</v>
      </c>
      <c r="Q258" s="94">
        <f t="shared" si="54"/>
        <v>0.13018359375000002</v>
      </c>
      <c r="R258" s="94">
        <f t="shared" si="55"/>
        <v>0.08707629296875001</v>
      </c>
      <c r="S258" s="88" t="s">
        <v>331</v>
      </c>
      <c r="T258" s="94" t="s">
        <v>211</v>
      </c>
      <c r="U258" s="95" t="s">
        <v>20</v>
      </c>
      <c r="V258" s="85" t="s">
        <v>107</v>
      </c>
    </row>
    <row r="259" spans="1:22" ht="24.75" customHeight="1">
      <c r="A259" s="42" t="s">
        <v>250</v>
      </c>
      <c r="B259" s="41"/>
      <c r="C259" s="42" t="s">
        <v>222</v>
      </c>
      <c r="D259" s="43">
        <v>36609</v>
      </c>
      <c r="E259" s="44" t="s">
        <v>92</v>
      </c>
      <c r="F259" s="45">
        <v>0.5527777777777778</v>
      </c>
      <c r="G259" s="45">
        <v>0.23263888888888887</v>
      </c>
      <c r="H259" s="46">
        <f>SUM(F259:G259)</f>
        <v>0.7854166666666667</v>
      </c>
      <c r="I259" s="45"/>
      <c r="J259" s="47">
        <v>8</v>
      </c>
      <c r="K259" s="272">
        <v>270</v>
      </c>
      <c r="L259" s="48">
        <v>18</v>
      </c>
      <c r="M259" s="48">
        <v>4</v>
      </c>
      <c r="N259" s="48">
        <v>3</v>
      </c>
      <c r="O259" s="49">
        <f t="shared" si="53"/>
        <v>139.482421875</v>
      </c>
      <c r="P259" s="50">
        <f t="shared" si="56"/>
        <v>4.893895751953125</v>
      </c>
      <c r="Q259" s="50">
        <f t="shared" si="54"/>
        <v>2.4409423828125</v>
      </c>
      <c r="R259" s="50">
        <f t="shared" si="55"/>
        <v>1.6326804931640626</v>
      </c>
      <c r="S259" s="44" t="s">
        <v>331</v>
      </c>
      <c r="T259" s="50" t="s">
        <v>211</v>
      </c>
      <c r="U259" s="51" t="s">
        <v>385</v>
      </c>
      <c r="V259" s="42" t="s">
        <v>107</v>
      </c>
    </row>
    <row r="260" spans="1:22" ht="25.5">
      <c r="A260" s="85" t="s">
        <v>93</v>
      </c>
      <c r="B260" s="86"/>
      <c r="C260" s="85" t="s">
        <v>282</v>
      </c>
      <c r="D260" s="87">
        <v>36243</v>
      </c>
      <c r="E260" s="88" t="s">
        <v>92</v>
      </c>
      <c r="F260" s="89">
        <v>0.7715277777777777</v>
      </c>
      <c r="G260" s="89">
        <v>0.013888888888888888</v>
      </c>
      <c r="H260" s="90">
        <f>SUM(G260+F260)</f>
        <v>0.7854166666666665</v>
      </c>
      <c r="I260" s="89"/>
      <c r="J260" s="91">
        <v>8</v>
      </c>
      <c r="K260" s="273">
        <v>12</v>
      </c>
      <c r="L260" s="92">
        <v>27</v>
      </c>
      <c r="M260" s="92">
        <v>4</v>
      </c>
      <c r="N260" s="92">
        <v>2.5</v>
      </c>
      <c r="O260" s="93">
        <f t="shared" si="53"/>
        <v>7.4390625</v>
      </c>
      <c r="P260" s="94">
        <f t="shared" si="56"/>
        <v>0.26100777343750003</v>
      </c>
      <c r="Q260" s="94">
        <f t="shared" si="54"/>
        <v>0.13018359375000002</v>
      </c>
      <c r="R260" s="94">
        <f t="shared" si="55"/>
        <v>0.08707629296875001</v>
      </c>
      <c r="S260" s="88" t="s">
        <v>331</v>
      </c>
      <c r="T260" s="94" t="s">
        <v>211</v>
      </c>
      <c r="U260" s="95" t="s">
        <v>20</v>
      </c>
      <c r="V260" s="85" t="s">
        <v>107</v>
      </c>
    </row>
    <row r="261" spans="1:22" ht="25.5">
      <c r="A261" s="85" t="s">
        <v>94</v>
      </c>
      <c r="B261" s="86"/>
      <c r="C261" s="85" t="s">
        <v>282</v>
      </c>
      <c r="D261" s="87">
        <v>36244</v>
      </c>
      <c r="E261" s="88" t="s">
        <v>95</v>
      </c>
      <c r="F261" s="89">
        <v>0.042361111111111106</v>
      </c>
      <c r="G261" s="89">
        <v>0.013888888888888888</v>
      </c>
      <c r="H261" s="90">
        <f>SUM(G261+F261)</f>
        <v>0.056249999999999994</v>
      </c>
      <c r="I261" s="89"/>
      <c r="J261" s="91">
        <v>8</v>
      </c>
      <c r="K261" s="273">
        <v>12</v>
      </c>
      <c r="L261" s="92">
        <v>27</v>
      </c>
      <c r="M261" s="92">
        <v>4</v>
      </c>
      <c r="N261" s="92">
        <v>2.5</v>
      </c>
      <c r="O261" s="93">
        <f t="shared" si="53"/>
        <v>7.4390625</v>
      </c>
      <c r="P261" s="94">
        <f t="shared" si="56"/>
        <v>0.26100777343750003</v>
      </c>
      <c r="Q261" s="94">
        <f t="shared" si="54"/>
        <v>0.13018359375000002</v>
      </c>
      <c r="R261" s="94">
        <f t="shared" si="55"/>
        <v>0.08707629296875001</v>
      </c>
      <c r="S261" s="88" t="s">
        <v>331</v>
      </c>
      <c r="T261" s="94" t="s">
        <v>211</v>
      </c>
      <c r="U261" s="95" t="s">
        <v>27</v>
      </c>
      <c r="V261" s="85" t="s">
        <v>107</v>
      </c>
    </row>
    <row r="262" spans="1:22" ht="39" customHeight="1">
      <c r="A262" s="42" t="s">
        <v>96</v>
      </c>
      <c r="B262" s="41"/>
      <c r="C262" s="42" t="s">
        <v>222</v>
      </c>
      <c r="D262" s="43">
        <v>36610</v>
      </c>
      <c r="E262" s="44" t="s">
        <v>95</v>
      </c>
      <c r="F262" s="45">
        <v>0.06319444444444444</v>
      </c>
      <c r="G262" s="45">
        <v>0.08333333333333333</v>
      </c>
      <c r="H262" s="46">
        <f>SUM(F262:G262)</f>
        <v>0.14652777777777776</v>
      </c>
      <c r="I262" s="45"/>
      <c r="J262" s="47">
        <v>8</v>
      </c>
      <c r="K262" s="272">
        <v>276</v>
      </c>
      <c r="L262" s="48">
        <v>1</v>
      </c>
      <c r="M262" s="48">
        <v>4</v>
      </c>
      <c r="N262" s="48">
        <v>2.8</v>
      </c>
      <c r="O262" s="49">
        <f t="shared" si="53"/>
        <v>152.76646205357144</v>
      </c>
      <c r="P262" s="50">
        <f t="shared" si="56"/>
        <v>5.359981061662947</v>
      </c>
      <c r="Q262" s="50">
        <f t="shared" si="54"/>
        <v>2.6734130859375007</v>
      </c>
      <c r="R262" s="50">
        <f t="shared" si="55"/>
        <v>1.7881738734654022</v>
      </c>
      <c r="S262" s="44" t="s">
        <v>331</v>
      </c>
      <c r="T262" s="50" t="s">
        <v>211</v>
      </c>
      <c r="U262" s="51" t="s">
        <v>97</v>
      </c>
      <c r="V262" s="42" t="s">
        <v>107</v>
      </c>
    </row>
    <row r="263" spans="1:22" ht="39" customHeight="1">
      <c r="A263" s="42" t="s">
        <v>98</v>
      </c>
      <c r="B263" s="41"/>
      <c r="C263" s="42" t="s">
        <v>222</v>
      </c>
      <c r="D263" s="43">
        <v>36610</v>
      </c>
      <c r="E263" s="44" t="s">
        <v>95</v>
      </c>
      <c r="F263" s="45">
        <v>0.14722222222222223</v>
      </c>
      <c r="G263" s="45">
        <v>0.03819444444444444</v>
      </c>
      <c r="H263" s="46">
        <f>SUM(F263:G263)</f>
        <v>0.18541666666666667</v>
      </c>
      <c r="I263" s="45"/>
      <c r="J263" s="47">
        <v>8</v>
      </c>
      <c r="K263" s="272">
        <v>159</v>
      </c>
      <c r="L263" s="48">
        <v>1</v>
      </c>
      <c r="M263" s="48">
        <v>4</v>
      </c>
      <c r="N263" s="48">
        <v>2.8</v>
      </c>
      <c r="O263" s="49">
        <f t="shared" si="53"/>
        <v>88.00676618303572</v>
      </c>
      <c r="P263" s="50">
        <f t="shared" si="56"/>
        <v>3.0878151768275672</v>
      </c>
      <c r="Q263" s="50">
        <f t="shared" si="54"/>
        <v>1.5401184082031252</v>
      </c>
      <c r="R263" s="50">
        <f t="shared" si="55"/>
        <v>1.030143644496373</v>
      </c>
      <c r="S263" s="44" t="s">
        <v>331</v>
      </c>
      <c r="T263" s="50" t="s">
        <v>211</v>
      </c>
      <c r="U263" s="51" t="s">
        <v>99</v>
      </c>
      <c r="V263" s="42" t="s">
        <v>107</v>
      </c>
    </row>
    <row r="264" spans="1:22" ht="21" customHeight="1">
      <c r="A264" s="121" t="s">
        <v>399</v>
      </c>
      <c r="B264" s="122"/>
      <c r="C264" s="123" t="s">
        <v>282</v>
      </c>
      <c r="D264" s="182">
        <v>36244</v>
      </c>
      <c r="E264" s="183" t="s">
        <v>95</v>
      </c>
      <c r="F264" s="126">
        <v>0.18819444444444444</v>
      </c>
      <c r="G264" s="126">
        <v>0.017361111111111112</v>
      </c>
      <c r="H264" s="126">
        <f>SUM(F264:G264)</f>
        <v>0.20555555555555555</v>
      </c>
      <c r="I264" s="122"/>
      <c r="J264" s="127">
        <v>12</v>
      </c>
      <c r="K264" s="263">
        <v>4</v>
      </c>
      <c r="L264" s="122">
        <v>29</v>
      </c>
      <c r="M264" s="122">
        <v>0</v>
      </c>
      <c r="N264" s="122">
        <v>2.5</v>
      </c>
      <c r="O264" s="128">
        <f>K264*1625088/N264/(1024*1024)</f>
        <v>2.4796875</v>
      </c>
      <c r="P264" s="189">
        <f>N264*63/3600</f>
        <v>0.04375</v>
      </c>
      <c r="Q264" s="129">
        <f>O264*63/3600</f>
        <v>0.04339453124999999</v>
      </c>
      <c r="R264" s="129">
        <f>O264*42.139/3600</f>
        <v>0.02902543098958333</v>
      </c>
      <c r="S264" s="183" t="s">
        <v>331</v>
      </c>
      <c r="T264" s="130" t="s">
        <v>37</v>
      </c>
      <c r="U264" s="216" t="s">
        <v>305</v>
      </c>
      <c r="V264" s="85" t="s">
        <v>107</v>
      </c>
    </row>
    <row r="265" spans="1:22" ht="25.5" customHeight="1">
      <c r="A265" s="377" t="s">
        <v>68</v>
      </c>
      <c r="B265" s="366"/>
      <c r="C265" s="367"/>
      <c r="D265" s="368"/>
      <c r="E265" s="369"/>
      <c r="F265" s="370"/>
      <c r="G265" s="370"/>
      <c r="H265" s="370"/>
      <c r="I265" s="366"/>
      <c r="J265" s="371"/>
      <c r="K265" s="372"/>
      <c r="L265" s="366"/>
      <c r="M265" s="366"/>
      <c r="N265" s="366"/>
      <c r="O265" s="373"/>
      <c r="P265" s="374"/>
      <c r="Q265" s="375"/>
      <c r="R265" s="375"/>
      <c r="S265" s="369"/>
      <c r="T265" s="376"/>
      <c r="U265" s="367"/>
      <c r="V265" s="204"/>
    </row>
    <row r="266" spans="1:22" ht="12.75">
      <c r="A266" s="191" t="s">
        <v>35</v>
      </c>
      <c r="B266" s="52">
        <v>43</v>
      </c>
      <c r="C266" s="53"/>
      <c r="D266" s="54">
        <v>36244</v>
      </c>
      <c r="E266" s="55" t="s">
        <v>95</v>
      </c>
      <c r="F266" s="56">
        <v>0.5972222222222222</v>
      </c>
      <c r="G266" s="56">
        <v>0.3506944444444444</v>
      </c>
      <c r="H266" s="57">
        <f>SUM(F266:G266)</f>
        <v>0.9479166666666666</v>
      </c>
      <c r="I266" s="58"/>
      <c r="J266" s="59"/>
      <c r="K266" s="275"/>
      <c r="L266" s="58"/>
      <c r="M266" s="58"/>
      <c r="N266" s="58"/>
      <c r="O266" s="60">
        <f>SUM(O258:O265)</f>
        <v>405.0525251116072</v>
      </c>
      <c r="P266" s="60">
        <f>SUM(P258:P265)</f>
        <v>14.168465310756138</v>
      </c>
      <c r="Q266" s="60">
        <f>SUM(Q258:Q265)</f>
        <v>7.088419189453126</v>
      </c>
      <c r="R266" s="60">
        <f>SUM(R258:R265)</f>
        <v>4.741252321021672</v>
      </c>
      <c r="S266" s="55"/>
      <c r="T266" s="60"/>
      <c r="U266" s="61"/>
      <c r="V266" s="53"/>
    </row>
    <row r="267" spans="1:22" ht="25.5">
      <c r="A267" s="85" t="s">
        <v>400</v>
      </c>
      <c r="B267" s="86"/>
      <c r="C267" s="85" t="s">
        <v>282</v>
      </c>
      <c r="D267" s="87">
        <v>36244</v>
      </c>
      <c r="E267" s="88" t="s">
        <v>95</v>
      </c>
      <c r="F267" s="89">
        <v>0.9416666666666668</v>
      </c>
      <c r="G267" s="89">
        <v>0.013888888888888888</v>
      </c>
      <c r="H267" s="90">
        <f>SUM(G267+F267)</f>
        <v>0.9555555555555556</v>
      </c>
      <c r="I267" s="89"/>
      <c r="J267" s="91">
        <v>8</v>
      </c>
      <c r="K267" s="273">
        <v>15</v>
      </c>
      <c r="L267" s="92">
        <v>18</v>
      </c>
      <c r="M267" s="92">
        <v>4</v>
      </c>
      <c r="N267" s="92">
        <v>3</v>
      </c>
      <c r="O267" s="93">
        <f>K267*1625088/N267/(1024*1024)</f>
        <v>7.7490234375</v>
      </c>
      <c r="P267" s="94">
        <f>O267*126.31/3600</f>
        <v>0.2718830973307292</v>
      </c>
      <c r="Q267" s="94">
        <f>O267*63/3600</f>
        <v>0.13560791015625</v>
      </c>
      <c r="R267" s="94">
        <f>O267*42.139/3600</f>
        <v>0.09070447184244793</v>
      </c>
      <c r="S267" s="88" t="s">
        <v>331</v>
      </c>
      <c r="T267" s="94" t="s">
        <v>211</v>
      </c>
      <c r="U267" s="95" t="s">
        <v>30</v>
      </c>
      <c r="V267" s="85" t="s">
        <v>107</v>
      </c>
    </row>
    <row r="268" spans="1:22" ht="21" customHeight="1">
      <c r="A268" s="121" t="s">
        <v>401</v>
      </c>
      <c r="B268" s="122"/>
      <c r="C268" s="123" t="s">
        <v>282</v>
      </c>
      <c r="D268" s="182">
        <v>36245</v>
      </c>
      <c r="E268" s="183" t="s">
        <v>402</v>
      </c>
      <c r="F268" s="126">
        <v>0.05902777777777778</v>
      </c>
      <c r="G268" s="126">
        <v>0.017361111111111112</v>
      </c>
      <c r="H268" s="126">
        <f>SUM(F268:G268)</f>
        <v>0.0763888888888889</v>
      </c>
      <c r="I268" s="122"/>
      <c r="J268" s="127">
        <v>12</v>
      </c>
      <c r="K268" s="263">
        <v>4</v>
      </c>
      <c r="L268" s="122">
        <v>29</v>
      </c>
      <c r="M268" s="122">
        <v>0</v>
      </c>
      <c r="N268" s="122">
        <v>2.5</v>
      </c>
      <c r="O268" s="128">
        <f>K268*1625088/N268/(1024*1024)</f>
        <v>2.4796875</v>
      </c>
      <c r="P268" s="189">
        <f>N268*63/3600</f>
        <v>0.04375</v>
      </c>
      <c r="Q268" s="129">
        <f>O268*63/3600</f>
        <v>0.04339453124999999</v>
      </c>
      <c r="R268" s="129">
        <f>O268*42.139/3600</f>
        <v>0.02902543098958333</v>
      </c>
      <c r="S268" s="183" t="s">
        <v>331</v>
      </c>
      <c r="T268" s="130" t="s">
        <v>37</v>
      </c>
      <c r="U268" s="216" t="s">
        <v>305</v>
      </c>
      <c r="V268" s="85" t="s">
        <v>107</v>
      </c>
    </row>
    <row r="269" spans="1:22" ht="25.5" customHeight="1">
      <c r="A269" s="377" t="s">
        <v>68</v>
      </c>
      <c r="B269" s="366"/>
      <c r="C269" s="367"/>
      <c r="D269" s="368"/>
      <c r="E269" s="369"/>
      <c r="F269" s="370"/>
      <c r="G269" s="370"/>
      <c r="H269" s="370"/>
      <c r="I269" s="366"/>
      <c r="J269" s="371"/>
      <c r="K269" s="372"/>
      <c r="L269" s="366"/>
      <c r="M269" s="366"/>
      <c r="N269" s="366"/>
      <c r="O269" s="373"/>
      <c r="P269" s="374"/>
      <c r="Q269" s="375"/>
      <c r="R269" s="375"/>
      <c r="S269" s="369"/>
      <c r="T269" s="376"/>
      <c r="U269" s="367"/>
      <c r="V269" s="204"/>
    </row>
    <row r="270" spans="1:22" ht="25.5">
      <c r="A270" s="97" t="s">
        <v>403</v>
      </c>
      <c r="B270" s="98"/>
      <c r="C270" s="97" t="s">
        <v>222</v>
      </c>
      <c r="D270" s="99">
        <v>36245</v>
      </c>
      <c r="E270" s="100" t="s">
        <v>402</v>
      </c>
      <c r="F270" s="101">
        <v>0.0798611111111111</v>
      </c>
      <c r="G270" s="101">
        <v>0.013888888888888888</v>
      </c>
      <c r="H270" s="102">
        <f>SUM(F270:G270)</f>
        <v>0.09375</v>
      </c>
      <c r="I270" s="101"/>
      <c r="J270" s="103"/>
      <c r="K270" s="278">
        <v>857</v>
      </c>
      <c r="L270" s="104">
        <v>4</v>
      </c>
      <c r="M270" s="104"/>
      <c r="N270" s="104"/>
      <c r="O270" s="107">
        <f>K270*2864/2.5/1000000</f>
        <v>0.9817792</v>
      </c>
      <c r="P270" s="108">
        <f>O270*126.31/3600</f>
        <v>0.03444681409777778</v>
      </c>
      <c r="Q270" s="108">
        <f>O270*63/3600</f>
        <v>0.017181136</v>
      </c>
      <c r="R270" s="108">
        <f>O270*42.139/3600</f>
        <v>0.011491998252444444</v>
      </c>
      <c r="S270" s="100" t="s">
        <v>331</v>
      </c>
      <c r="T270" s="105" t="s">
        <v>211</v>
      </c>
      <c r="U270" s="106" t="s">
        <v>39</v>
      </c>
      <c r="V270" s="97" t="s">
        <v>107</v>
      </c>
    </row>
    <row r="271" spans="1:22" ht="12.75">
      <c r="A271" s="191" t="s">
        <v>35</v>
      </c>
      <c r="B271" s="52">
        <v>43</v>
      </c>
      <c r="C271" s="53"/>
      <c r="D271" s="54">
        <v>36245</v>
      </c>
      <c r="E271" s="55" t="s">
        <v>402</v>
      </c>
      <c r="F271" s="56">
        <v>0.59375</v>
      </c>
      <c r="G271" s="56">
        <v>0.3819444444444444</v>
      </c>
      <c r="H271" s="57">
        <f>SUM(F271:G271)</f>
        <v>0.9756944444444444</v>
      </c>
      <c r="I271" s="58"/>
      <c r="J271" s="59"/>
      <c r="K271" s="275"/>
      <c r="L271" s="58"/>
      <c r="M271" s="58"/>
      <c r="N271" s="58"/>
      <c r="O271" s="60">
        <f>SUM(O267:O270)</f>
        <v>11.2104901375</v>
      </c>
      <c r="P271" s="60">
        <f>SUM(P267:P270)</f>
        <v>0.350079911428507</v>
      </c>
      <c r="Q271" s="60">
        <f>SUM(Q267:Q270)</f>
        <v>0.19618357740624998</v>
      </c>
      <c r="R271" s="60">
        <f>SUM(R267:R270)</f>
        <v>0.13122190108447568</v>
      </c>
      <c r="S271" s="55"/>
      <c r="T271" s="60"/>
      <c r="U271" s="61"/>
      <c r="V271" s="53"/>
    </row>
    <row r="272" spans="1:22" ht="25.5">
      <c r="A272" s="85" t="s">
        <v>404</v>
      </c>
      <c r="B272" s="86"/>
      <c r="C272" s="85" t="s">
        <v>282</v>
      </c>
      <c r="D272" s="87">
        <v>36245</v>
      </c>
      <c r="E272" s="88" t="s">
        <v>402</v>
      </c>
      <c r="F272" s="89">
        <v>0.9694444444444444</v>
      </c>
      <c r="G272" s="89">
        <v>0.013888888888888888</v>
      </c>
      <c r="H272" s="90">
        <f>SUM(G272+F272)</f>
        <v>0.9833333333333333</v>
      </c>
      <c r="I272" s="89"/>
      <c r="J272" s="91">
        <v>8</v>
      </c>
      <c r="K272" s="273">
        <v>9</v>
      </c>
      <c r="L272" s="92">
        <v>18</v>
      </c>
      <c r="M272" s="92">
        <v>4</v>
      </c>
      <c r="N272" s="92">
        <v>3</v>
      </c>
      <c r="O272" s="93">
        <f>K272*1625088/N272/(1024*1024)</f>
        <v>4.6494140625</v>
      </c>
      <c r="P272" s="94">
        <f>O272*126.31/3600</f>
        <v>0.16312985839843752</v>
      </c>
      <c r="Q272" s="94">
        <f>O272*63/3600</f>
        <v>0.08136474609375</v>
      </c>
      <c r="R272" s="94">
        <f>O272*42.139/3600</f>
        <v>0.05442268310546875</v>
      </c>
      <c r="S272" s="88" t="s">
        <v>331</v>
      </c>
      <c r="T272" s="94" t="s">
        <v>211</v>
      </c>
      <c r="U272" s="95" t="s">
        <v>19</v>
      </c>
      <c r="V272" s="85" t="s">
        <v>107</v>
      </c>
    </row>
    <row r="273" spans="1:22" ht="24.75" customHeight="1">
      <c r="A273" s="42" t="s">
        <v>405</v>
      </c>
      <c r="B273" s="41"/>
      <c r="C273" s="42" t="s">
        <v>222</v>
      </c>
      <c r="D273" s="43">
        <v>36611</v>
      </c>
      <c r="E273" s="44" t="s">
        <v>402</v>
      </c>
      <c r="F273" s="45">
        <v>0.9951388888888889</v>
      </c>
      <c r="G273" s="45">
        <v>0.1875</v>
      </c>
      <c r="H273" s="46">
        <f>SUM(F273:G273)</f>
        <v>1.182638888888889</v>
      </c>
      <c r="I273" s="45"/>
      <c r="J273" s="47">
        <v>8</v>
      </c>
      <c r="K273" s="272">
        <v>577</v>
      </c>
      <c r="L273" s="48">
        <v>18</v>
      </c>
      <c r="M273" s="48">
        <v>4</v>
      </c>
      <c r="N273" s="48">
        <v>2.8</v>
      </c>
      <c r="O273" s="49">
        <f>K273*1625088/N273/(1024*1024)</f>
        <v>319.37046595982144</v>
      </c>
      <c r="P273" s="50">
        <f>O273*126.31/3600</f>
        <v>11.205467654273624</v>
      </c>
      <c r="Q273" s="50">
        <f>O273*63/3600</f>
        <v>5.588983154296875</v>
      </c>
      <c r="R273" s="50">
        <f>O273*42.139/3600</f>
        <v>3.7383200180780327</v>
      </c>
      <c r="S273" s="44" t="s">
        <v>331</v>
      </c>
      <c r="T273" s="50" t="s">
        <v>211</v>
      </c>
      <c r="U273" s="51" t="s">
        <v>40</v>
      </c>
      <c r="V273" s="42" t="s">
        <v>107</v>
      </c>
    </row>
    <row r="274" spans="1:22" ht="12.75">
      <c r="A274" s="97" t="s">
        <v>406</v>
      </c>
      <c r="B274" s="98"/>
      <c r="C274" s="97" t="s">
        <v>222</v>
      </c>
      <c r="D274" s="99">
        <v>36245</v>
      </c>
      <c r="E274" s="100" t="s">
        <v>402</v>
      </c>
      <c r="F274" s="101">
        <v>0.9951388888888889</v>
      </c>
      <c r="G274" s="101">
        <v>0.23263888888888887</v>
      </c>
      <c r="H274" s="102">
        <f>SUM(F274:G274)</f>
        <v>1.2277777777777779</v>
      </c>
      <c r="I274" s="101"/>
      <c r="J274" s="103"/>
      <c r="K274" s="278">
        <v>651</v>
      </c>
      <c r="L274" s="104">
        <v>5</v>
      </c>
      <c r="M274" s="104"/>
      <c r="N274" s="104"/>
      <c r="O274" s="107">
        <f>K274*2864/2.5/1000000</f>
        <v>0.7457855999999999</v>
      </c>
      <c r="P274" s="108">
        <f>O274*126.31/3600</f>
        <v>0.026166716426666663</v>
      </c>
      <c r="Q274" s="108">
        <f>O274*63/3600</f>
        <v>0.013051248</v>
      </c>
      <c r="R274" s="108">
        <f>O274*42.139/3600</f>
        <v>0.008729627610666667</v>
      </c>
      <c r="S274" s="100" t="s">
        <v>331</v>
      </c>
      <c r="T274" s="105" t="s">
        <v>211</v>
      </c>
      <c r="U274" s="106" t="s">
        <v>41</v>
      </c>
      <c r="V274" s="97" t="s">
        <v>107</v>
      </c>
    </row>
    <row r="275" spans="1:22" ht="12.75">
      <c r="A275" s="191" t="s">
        <v>35</v>
      </c>
      <c r="B275" s="52">
        <v>43</v>
      </c>
      <c r="C275" s="53"/>
      <c r="D275" s="54">
        <v>36246</v>
      </c>
      <c r="E275" s="55" t="s">
        <v>202</v>
      </c>
      <c r="F275" s="56">
        <v>0.20486111111111113</v>
      </c>
      <c r="G275" s="56">
        <v>0.23263888888888887</v>
      </c>
      <c r="H275" s="57">
        <f>SUM(F275:G275)</f>
        <v>0.4375</v>
      </c>
      <c r="I275" s="58"/>
      <c r="J275" s="59"/>
      <c r="K275" s="275"/>
      <c r="L275" s="58"/>
      <c r="M275" s="58"/>
      <c r="N275" s="58"/>
      <c r="O275" s="60">
        <f>SUM(O272:O274)</f>
        <v>324.7656656223214</v>
      </c>
      <c r="P275" s="60">
        <f>SUM(P272:P274)</f>
        <v>11.39476422909873</v>
      </c>
      <c r="Q275" s="60">
        <f>SUM(Q272:Q274)</f>
        <v>5.683399148390625</v>
      </c>
      <c r="R275" s="60">
        <f>SUM(R272:R274)</f>
        <v>3.8014723287941683</v>
      </c>
      <c r="S275" s="55"/>
      <c r="T275" s="60"/>
      <c r="U275" s="61"/>
      <c r="V275" s="53"/>
    </row>
    <row r="276" spans="1:22" ht="13.5" thickBot="1">
      <c r="A276" s="236" t="s">
        <v>128</v>
      </c>
      <c r="B276" s="237"/>
      <c r="C276" s="238"/>
      <c r="D276" s="239"/>
      <c r="E276" s="240"/>
      <c r="F276" s="241"/>
      <c r="G276" s="241"/>
      <c r="H276" s="242"/>
      <c r="I276" s="243"/>
      <c r="J276" s="244"/>
      <c r="K276" s="279">
        <f>SUM(K233:K273)-K236-K270</f>
        <v>4033</v>
      </c>
      <c r="L276" s="243"/>
      <c r="M276" s="243"/>
      <c r="N276" s="243">
        <v>2</v>
      </c>
      <c r="O276" s="245">
        <f>K276*1625088/N276/(1024*1024)</f>
        <v>3125.18115234375</v>
      </c>
      <c r="P276" s="245"/>
      <c r="Q276" s="245"/>
      <c r="R276" s="245"/>
      <c r="S276" s="240"/>
      <c r="T276" s="246"/>
      <c r="U276" s="247"/>
      <c r="V276" s="238"/>
    </row>
    <row r="277" spans="1:22" ht="25.5">
      <c r="A277" s="344" t="s">
        <v>373</v>
      </c>
      <c r="B277" s="291"/>
      <c r="C277" s="290" t="s">
        <v>282</v>
      </c>
      <c r="D277" s="292">
        <v>36612</v>
      </c>
      <c r="E277" s="345">
        <v>87</v>
      </c>
      <c r="F277" s="289">
        <v>0.4305555555555556</v>
      </c>
      <c r="G277" s="293">
        <v>0.024305555555555556</v>
      </c>
      <c r="H277" s="289">
        <f aca="true" t="shared" si="57" ref="H277:H337">SUM(G277+F277)</f>
        <v>0.45486111111111116</v>
      </c>
      <c r="I277" s="294" t="s">
        <v>397</v>
      </c>
      <c r="J277" s="295">
        <v>8</v>
      </c>
      <c r="K277" s="345">
        <v>12</v>
      </c>
      <c r="L277" s="294">
        <v>27</v>
      </c>
      <c r="M277" s="294">
        <v>4</v>
      </c>
      <c r="N277" s="294">
        <v>2.5</v>
      </c>
      <c r="O277" s="296">
        <f>K277*1625088/N277/(1024*1024)</f>
        <v>7.4390625</v>
      </c>
      <c r="P277" s="94">
        <f>O277*126.31/3600</f>
        <v>0.26100777343750003</v>
      </c>
      <c r="Q277" s="94">
        <f aca="true" t="shared" si="58" ref="Q277:Q285">O277*63/3600</f>
        <v>0.13018359375000002</v>
      </c>
      <c r="R277" s="94">
        <f>O277*42.139/3600</f>
        <v>0.08707629296875001</v>
      </c>
      <c r="S277" s="298" t="s">
        <v>162</v>
      </c>
      <c r="T277" s="297" t="s">
        <v>211</v>
      </c>
      <c r="U277" s="95" t="s">
        <v>27</v>
      </c>
      <c r="V277" s="290" t="s">
        <v>107</v>
      </c>
    </row>
    <row r="278" spans="1:22" ht="25.5">
      <c r="A278" s="346" t="s">
        <v>374</v>
      </c>
      <c r="B278" s="299"/>
      <c r="C278" s="290" t="s">
        <v>282</v>
      </c>
      <c r="D278" s="300">
        <v>36612</v>
      </c>
      <c r="E278" s="347">
        <v>87</v>
      </c>
      <c r="F278" s="285">
        <v>0.7923611111111111</v>
      </c>
      <c r="G278" s="301">
        <v>0.020833333333333332</v>
      </c>
      <c r="H278" s="285">
        <f t="shared" si="57"/>
        <v>0.8131944444444444</v>
      </c>
      <c r="I278" s="302" t="s">
        <v>397</v>
      </c>
      <c r="J278" s="303">
        <v>8</v>
      </c>
      <c r="K278" s="347">
        <v>12</v>
      </c>
      <c r="L278" s="302">
        <v>27</v>
      </c>
      <c r="M278" s="302">
        <v>4</v>
      </c>
      <c r="N278" s="302">
        <v>2.5</v>
      </c>
      <c r="O278" s="304">
        <f>K278*1625088/N278/(1024*1024)</f>
        <v>7.4390625</v>
      </c>
      <c r="P278" s="94">
        <f>O278*126.31/3600</f>
        <v>0.26100777343750003</v>
      </c>
      <c r="Q278" s="94">
        <f t="shared" si="58"/>
        <v>0.13018359375000002</v>
      </c>
      <c r="R278" s="94">
        <f>O278*42.139/3600</f>
        <v>0.08707629296875001</v>
      </c>
      <c r="S278" s="306" t="s">
        <v>162</v>
      </c>
      <c r="T278" s="305" t="s">
        <v>211</v>
      </c>
      <c r="U278" s="95" t="s">
        <v>20</v>
      </c>
      <c r="V278" s="288" t="s">
        <v>107</v>
      </c>
    </row>
    <row r="279" spans="1:22" ht="25.5">
      <c r="A279" s="346" t="s">
        <v>131</v>
      </c>
      <c r="B279" s="299"/>
      <c r="C279" s="290" t="s">
        <v>282</v>
      </c>
      <c r="D279" s="300">
        <v>36613</v>
      </c>
      <c r="E279" s="347">
        <v>88</v>
      </c>
      <c r="F279" s="285">
        <v>0.042361111111111106</v>
      </c>
      <c r="G279" s="301">
        <v>0.015972222222222224</v>
      </c>
      <c r="H279" s="285">
        <f t="shared" si="57"/>
        <v>0.058333333333333334</v>
      </c>
      <c r="I279" s="302"/>
      <c r="J279" s="303">
        <v>12</v>
      </c>
      <c r="K279" s="347">
        <v>4</v>
      </c>
      <c r="L279" s="302">
        <v>29</v>
      </c>
      <c r="M279" s="302">
        <v>0</v>
      </c>
      <c r="N279" s="302">
        <v>2.5</v>
      </c>
      <c r="O279" s="304">
        <f>K279*1625088/N279/(1024*1024)</f>
        <v>2.4796875</v>
      </c>
      <c r="P279" s="94">
        <f>O279*126.31/3600</f>
        <v>0.08700259114583332</v>
      </c>
      <c r="Q279" s="94">
        <f t="shared" si="58"/>
        <v>0.04339453124999999</v>
      </c>
      <c r="R279" s="94">
        <f>O279*42.139/3600</f>
        <v>0.02902543098958333</v>
      </c>
      <c r="S279" s="306" t="s">
        <v>162</v>
      </c>
      <c r="T279" s="305" t="s">
        <v>37</v>
      </c>
      <c r="U279" s="216" t="s">
        <v>305</v>
      </c>
      <c r="V279" s="288" t="s">
        <v>107</v>
      </c>
    </row>
    <row r="280" spans="1:22" ht="51">
      <c r="A280" s="348" t="s">
        <v>375</v>
      </c>
      <c r="B280" s="307"/>
      <c r="C280" s="308" t="s">
        <v>222</v>
      </c>
      <c r="D280" s="309">
        <v>36613</v>
      </c>
      <c r="E280" s="349">
        <v>88</v>
      </c>
      <c r="F280" s="311">
        <v>0.05902777777777778</v>
      </c>
      <c r="G280" s="310">
        <v>0.19583333333333333</v>
      </c>
      <c r="H280" s="311">
        <f t="shared" si="57"/>
        <v>0.2548611111111111</v>
      </c>
      <c r="I280" s="312"/>
      <c r="J280" s="313">
        <v>8</v>
      </c>
      <c r="K280" s="349">
        <f>214+137</f>
        <v>351</v>
      </c>
      <c r="L280" s="312">
        <v>18</v>
      </c>
      <c r="M280" s="312">
        <v>4</v>
      </c>
      <c r="N280" s="312">
        <v>2.5</v>
      </c>
      <c r="O280" s="286">
        <f>K280*1625088/N280/(1024*1024)</f>
        <v>217.592578125</v>
      </c>
      <c r="P280" s="50">
        <f>O280*126.31/3600</f>
        <v>7.634477373046875</v>
      </c>
      <c r="Q280" s="50">
        <f t="shared" si="58"/>
        <v>3.8078701171874996</v>
      </c>
      <c r="R280" s="50">
        <f>O280*42.139/3600</f>
        <v>2.5469815693359377</v>
      </c>
      <c r="S280" s="314" t="s">
        <v>162</v>
      </c>
      <c r="T280" s="287" t="s">
        <v>211</v>
      </c>
      <c r="U280" s="51" t="s">
        <v>382</v>
      </c>
      <c r="V280" s="308" t="s">
        <v>107</v>
      </c>
    </row>
    <row r="281" spans="1:22" ht="25.5">
      <c r="A281" s="355" t="s">
        <v>129</v>
      </c>
      <c r="B281" s="356"/>
      <c r="C281" s="357" t="s">
        <v>222</v>
      </c>
      <c r="D281" s="358">
        <v>36613</v>
      </c>
      <c r="E281" s="359">
        <v>88</v>
      </c>
      <c r="F281" s="360">
        <v>0.05902777777777778</v>
      </c>
      <c r="G281" s="361">
        <v>0.19583333333333333</v>
      </c>
      <c r="H281" s="360">
        <f>SUM(G281+F281)</f>
        <v>0.2548611111111111</v>
      </c>
      <c r="I281" s="362"/>
      <c r="J281" s="363"/>
      <c r="K281" s="359">
        <v>2450</v>
      </c>
      <c r="L281" s="362">
        <v>8</v>
      </c>
      <c r="M281" s="362"/>
      <c r="N281" s="362"/>
      <c r="O281" s="107">
        <f>K281*2864/2.5/1000000</f>
        <v>2.80672</v>
      </c>
      <c r="P281" s="108">
        <f>O281*126.31/3600</f>
        <v>0.09847688977777777</v>
      </c>
      <c r="Q281" s="108">
        <f t="shared" si="58"/>
        <v>0.0491176</v>
      </c>
      <c r="R281" s="108">
        <f>O281*42.139/3600</f>
        <v>0.03285343724444444</v>
      </c>
      <c r="S281" s="364" t="s">
        <v>162</v>
      </c>
      <c r="T281" s="365" t="s">
        <v>211</v>
      </c>
      <c r="U281" s="106" t="s">
        <v>388</v>
      </c>
      <c r="V281" s="357" t="s">
        <v>107</v>
      </c>
    </row>
    <row r="282" spans="1:22" ht="38.25">
      <c r="A282" s="348" t="s">
        <v>376</v>
      </c>
      <c r="B282" s="307"/>
      <c r="C282" s="308" t="s">
        <v>222</v>
      </c>
      <c r="D282" s="309">
        <v>36613</v>
      </c>
      <c r="E282" s="349">
        <v>88</v>
      </c>
      <c r="F282" s="311">
        <v>0.2881944444444445</v>
      </c>
      <c r="G282" s="310">
        <v>0.24027777777777778</v>
      </c>
      <c r="H282" s="311">
        <f t="shared" si="57"/>
        <v>0.5284722222222222</v>
      </c>
      <c r="I282" s="312"/>
      <c r="J282" s="313">
        <v>8</v>
      </c>
      <c r="K282" s="349">
        <f>150+133+27</f>
        <v>310</v>
      </c>
      <c r="L282" s="312">
        <v>18</v>
      </c>
      <c r="M282" s="312">
        <v>4</v>
      </c>
      <c r="N282" s="312">
        <v>2.5</v>
      </c>
      <c r="O282" s="286">
        <f>K282*1625088/N282/(1024*1024)</f>
        <v>192.17578125</v>
      </c>
      <c r="P282" s="50">
        <f>O282*126.31/3600</f>
        <v>6.742700813802084</v>
      </c>
      <c r="Q282" s="50">
        <f t="shared" si="58"/>
        <v>3.363076171875</v>
      </c>
      <c r="R282" s="50">
        <f>O282*42.139/3600</f>
        <v>2.2494709016927086</v>
      </c>
      <c r="S282" s="314" t="s">
        <v>162</v>
      </c>
      <c r="T282" s="287" t="s">
        <v>211</v>
      </c>
      <c r="U282" s="51" t="s">
        <v>383</v>
      </c>
      <c r="V282" s="308" t="s">
        <v>107</v>
      </c>
    </row>
    <row r="283" spans="1:22" ht="25.5">
      <c r="A283" s="355" t="s">
        <v>130</v>
      </c>
      <c r="B283" s="356"/>
      <c r="C283" s="357" t="s">
        <v>222</v>
      </c>
      <c r="D283" s="358">
        <v>36613</v>
      </c>
      <c r="E283" s="359">
        <v>88</v>
      </c>
      <c r="F283" s="360">
        <v>0.2881944444444445</v>
      </c>
      <c r="G283" s="361">
        <v>0.24027777777777778</v>
      </c>
      <c r="H283" s="360">
        <f>SUM(G283+F283)</f>
        <v>0.5284722222222222</v>
      </c>
      <c r="I283" s="362"/>
      <c r="J283" s="363"/>
      <c r="K283" s="359">
        <v>2450</v>
      </c>
      <c r="L283" s="362">
        <v>8</v>
      </c>
      <c r="M283" s="362"/>
      <c r="N283" s="362"/>
      <c r="O283" s="107">
        <f>K283*2864/2.5/1000000</f>
        <v>2.80672</v>
      </c>
      <c r="P283" s="108">
        <f>O283*126.31/3600</f>
        <v>0.09847688977777777</v>
      </c>
      <c r="Q283" s="108">
        <f t="shared" si="58"/>
        <v>0.0491176</v>
      </c>
      <c r="R283" s="108">
        <f>O283*42.139/3600</f>
        <v>0.03285343724444444</v>
      </c>
      <c r="S283" s="364" t="s">
        <v>162</v>
      </c>
      <c r="T283" s="365" t="s">
        <v>211</v>
      </c>
      <c r="U283" s="106" t="s">
        <v>388</v>
      </c>
      <c r="V283" s="357" t="s">
        <v>107</v>
      </c>
    </row>
    <row r="284" spans="1:22" ht="25.5">
      <c r="A284" s="346" t="s">
        <v>132</v>
      </c>
      <c r="B284" s="299"/>
      <c r="C284" s="290" t="s">
        <v>282</v>
      </c>
      <c r="D284" s="300">
        <v>36613</v>
      </c>
      <c r="E284" s="347">
        <v>88</v>
      </c>
      <c r="F284" s="285">
        <v>0.5555555555555556</v>
      </c>
      <c r="G284" s="301">
        <v>0.020833333333333332</v>
      </c>
      <c r="H284" s="285">
        <f t="shared" si="57"/>
        <v>0.576388888888889</v>
      </c>
      <c r="I284" s="302"/>
      <c r="J284" s="303">
        <v>12</v>
      </c>
      <c r="K284" s="347">
        <v>4</v>
      </c>
      <c r="L284" s="302">
        <v>29</v>
      </c>
      <c r="M284" s="302">
        <v>0</v>
      </c>
      <c r="N284" s="302">
        <v>2.5</v>
      </c>
      <c r="O284" s="304">
        <f>K284*1625088/N284/(1024*1024)</f>
        <v>2.4796875</v>
      </c>
      <c r="P284" s="94">
        <f>O284*126.31/3600</f>
        <v>0.08700259114583332</v>
      </c>
      <c r="Q284" s="94">
        <f t="shared" si="58"/>
        <v>0.04339453124999999</v>
      </c>
      <c r="R284" s="94">
        <f>O284*42.139/3600</f>
        <v>0.02902543098958333</v>
      </c>
      <c r="S284" s="306" t="s">
        <v>162</v>
      </c>
      <c r="T284" s="305" t="s">
        <v>37</v>
      </c>
      <c r="U284" s="216" t="s">
        <v>305</v>
      </c>
      <c r="V284" s="288" t="s">
        <v>107</v>
      </c>
    </row>
    <row r="285" spans="1:22" ht="25.5">
      <c r="A285" s="346" t="s">
        <v>377</v>
      </c>
      <c r="B285" s="299"/>
      <c r="C285" s="290" t="s">
        <v>282</v>
      </c>
      <c r="D285" s="300">
        <v>36613</v>
      </c>
      <c r="E285" s="347">
        <v>88</v>
      </c>
      <c r="F285" s="285">
        <v>0.576388888888889</v>
      </c>
      <c r="G285" s="301">
        <v>0.020833333333333332</v>
      </c>
      <c r="H285" s="285">
        <f t="shared" si="57"/>
        <v>0.5972222222222223</v>
      </c>
      <c r="I285" s="302" t="s">
        <v>287</v>
      </c>
      <c r="J285" s="303">
        <v>8</v>
      </c>
      <c r="K285" s="347">
        <v>9</v>
      </c>
      <c r="L285" s="302">
        <v>27</v>
      </c>
      <c r="M285" s="302">
        <v>4</v>
      </c>
      <c r="N285" s="302">
        <v>2.5</v>
      </c>
      <c r="O285" s="304">
        <f>2*K285*1625088/N285/(1024*1024)</f>
        <v>11.15859375</v>
      </c>
      <c r="P285" s="94">
        <f>O285*126.31/3600</f>
        <v>0.39151166015625</v>
      </c>
      <c r="Q285" s="94">
        <f t="shared" si="58"/>
        <v>0.195275390625</v>
      </c>
      <c r="R285" s="94">
        <f>O285*42.139/3600</f>
        <v>0.130614439453125</v>
      </c>
      <c r="S285" s="306" t="s">
        <v>162</v>
      </c>
      <c r="T285" s="305" t="s">
        <v>211</v>
      </c>
      <c r="U285" s="95" t="s">
        <v>19</v>
      </c>
      <c r="V285" s="288" t="s">
        <v>107</v>
      </c>
    </row>
    <row r="286" spans="1:22" ht="12.75">
      <c r="A286" s="191" t="s">
        <v>35</v>
      </c>
      <c r="B286" s="315"/>
      <c r="C286" s="316"/>
      <c r="D286" s="317">
        <v>36613</v>
      </c>
      <c r="E286" s="350">
        <v>88</v>
      </c>
      <c r="F286" s="319">
        <v>0.5979166666666667</v>
      </c>
      <c r="G286" s="318">
        <v>0.3229166666666667</v>
      </c>
      <c r="H286" s="319">
        <f t="shared" si="57"/>
        <v>0.9208333333333334</v>
      </c>
      <c r="I286" s="320"/>
      <c r="J286" s="321"/>
      <c r="K286" s="350"/>
      <c r="L286" s="320"/>
      <c r="M286" s="320"/>
      <c r="N286" s="320"/>
      <c r="O286" s="60">
        <f>SUM(O277:O285)</f>
        <v>446.377893125</v>
      </c>
      <c r="P286" s="60">
        <f>SUM(P277:P285)</f>
        <v>15.66166435572743</v>
      </c>
      <c r="Q286" s="60">
        <f>SUM(Q277:Q285)</f>
        <v>7.811613129687499</v>
      </c>
      <c r="R286" s="60">
        <f>SUM(R277:R285)</f>
        <v>5.224977232887326</v>
      </c>
      <c r="S286" s="323"/>
      <c r="T286" s="322"/>
      <c r="U286" s="316"/>
      <c r="V286" s="316"/>
    </row>
    <row r="287" spans="1:22" ht="25.5">
      <c r="A287" s="346" t="s">
        <v>378</v>
      </c>
      <c r="B287" s="299"/>
      <c r="C287" s="290" t="s">
        <v>282</v>
      </c>
      <c r="D287" s="300">
        <v>36613</v>
      </c>
      <c r="E287" s="347">
        <v>88</v>
      </c>
      <c r="F287" s="285">
        <v>0.9208333333333334</v>
      </c>
      <c r="G287" s="301">
        <v>0.024305555555555556</v>
      </c>
      <c r="H287" s="285">
        <f t="shared" si="57"/>
        <v>0.945138888888889</v>
      </c>
      <c r="I287" s="302" t="s">
        <v>397</v>
      </c>
      <c r="J287" s="303">
        <v>8</v>
      </c>
      <c r="K287" s="347">
        <v>12</v>
      </c>
      <c r="L287" s="302">
        <v>27</v>
      </c>
      <c r="M287" s="302">
        <v>4</v>
      </c>
      <c r="N287" s="302">
        <v>2.5</v>
      </c>
      <c r="O287" s="304">
        <f>K287*1625088/N287/(1024*1024)</f>
        <v>7.4390625</v>
      </c>
      <c r="P287" s="94">
        <f>O287*126.31/3600</f>
        <v>0.26100777343750003</v>
      </c>
      <c r="Q287" s="94">
        <f aca="true" t="shared" si="59" ref="Q287:Q292">O287*63/3600</f>
        <v>0.13018359375000002</v>
      </c>
      <c r="R287" s="94">
        <f>O287*42.139/3600</f>
        <v>0.08707629296875001</v>
      </c>
      <c r="S287" s="306" t="s">
        <v>162</v>
      </c>
      <c r="T287" s="305" t="s">
        <v>211</v>
      </c>
      <c r="U287" s="95" t="s">
        <v>20</v>
      </c>
      <c r="V287" s="288" t="s">
        <v>107</v>
      </c>
    </row>
    <row r="288" spans="1:22" ht="38.25">
      <c r="A288" s="348" t="s">
        <v>379</v>
      </c>
      <c r="B288" s="307"/>
      <c r="C288" s="308" t="s">
        <v>247</v>
      </c>
      <c r="D288" s="309">
        <v>36614</v>
      </c>
      <c r="E288" s="349">
        <v>89</v>
      </c>
      <c r="F288" s="311">
        <v>0.05416666666666667</v>
      </c>
      <c r="G288" s="310">
        <v>0.21597222222222223</v>
      </c>
      <c r="H288" s="311">
        <f>SUM(G288+F288)</f>
        <v>0.27013888888888893</v>
      </c>
      <c r="I288" s="312"/>
      <c r="J288" s="313">
        <v>8</v>
      </c>
      <c r="K288" s="349">
        <f>167+73</f>
        <v>240</v>
      </c>
      <c r="L288" s="312">
        <v>18</v>
      </c>
      <c r="M288" s="312">
        <v>4</v>
      </c>
      <c r="N288" s="312">
        <v>3</v>
      </c>
      <c r="O288" s="286">
        <f>K288*1625088/N288/(1024*1024)</f>
        <v>123.984375</v>
      </c>
      <c r="P288" s="50">
        <f>O288*126.31/3600</f>
        <v>4.350129557291667</v>
      </c>
      <c r="Q288" s="50">
        <f t="shared" si="59"/>
        <v>2.1697265625</v>
      </c>
      <c r="R288" s="50">
        <f>O288*42.139/3600</f>
        <v>1.4512715494791668</v>
      </c>
      <c r="S288" s="314" t="s">
        <v>162</v>
      </c>
      <c r="T288" s="287" t="s">
        <v>211</v>
      </c>
      <c r="U288" s="51" t="s">
        <v>7</v>
      </c>
      <c r="V288" s="308" t="s">
        <v>107</v>
      </c>
    </row>
    <row r="289" spans="1:22" ht="25.5">
      <c r="A289" s="355" t="s">
        <v>135</v>
      </c>
      <c r="B289" s="356"/>
      <c r="C289" s="357" t="s">
        <v>222</v>
      </c>
      <c r="D289" s="358">
        <v>36614</v>
      </c>
      <c r="E289" s="359">
        <v>89</v>
      </c>
      <c r="F289" s="360">
        <v>0.05416666666666667</v>
      </c>
      <c r="G289" s="361">
        <v>0.21597222222222223</v>
      </c>
      <c r="H289" s="360">
        <f t="shared" si="57"/>
        <v>0.27013888888888893</v>
      </c>
      <c r="I289" s="362"/>
      <c r="J289" s="363">
        <v>8</v>
      </c>
      <c r="K289" s="359">
        <v>2200</v>
      </c>
      <c r="L289" s="362">
        <v>11</v>
      </c>
      <c r="M289" s="362"/>
      <c r="N289" s="362"/>
      <c r="O289" s="107">
        <f>K289*2864/2.5/1000000</f>
        <v>2.52032</v>
      </c>
      <c r="P289" s="108">
        <f>O289*126.31/3600</f>
        <v>0.08842822755555554</v>
      </c>
      <c r="Q289" s="108">
        <f t="shared" si="59"/>
        <v>0.0441056</v>
      </c>
      <c r="R289" s="108">
        <f>O289*42.139/3600</f>
        <v>0.02950104568888889</v>
      </c>
      <c r="S289" s="364" t="s">
        <v>162</v>
      </c>
      <c r="T289" s="365" t="s">
        <v>211</v>
      </c>
      <c r="U289" s="106" t="s">
        <v>389</v>
      </c>
      <c r="V289" s="357" t="s">
        <v>107</v>
      </c>
    </row>
    <row r="290" spans="1:22" ht="25.5">
      <c r="A290" s="346" t="s">
        <v>133</v>
      </c>
      <c r="B290" s="299"/>
      <c r="C290" s="290" t="s">
        <v>282</v>
      </c>
      <c r="D290" s="300">
        <v>36614</v>
      </c>
      <c r="E290" s="347">
        <v>89</v>
      </c>
      <c r="F290" s="285">
        <v>0.27152777777777776</v>
      </c>
      <c r="G290" s="301">
        <v>0.020833333333333332</v>
      </c>
      <c r="H290" s="285">
        <f t="shared" si="57"/>
        <v>0.29236111111111107</v>
      </c>
      <c r="I290" s="302"/>
      <c r="J290" s="303">
        <v>12</v>
      </c>
      <c r="K290" s="347">
        <v>4</v>
      </c>
      <c r="L290" s="302">
        <v>29</v>
      </c>
      <c r="M290" s="302">
        <v>0</v>
      </c>
      <c r="N290" s="302">
        <v>2.5</v>
      </c>
      <c r="O290" s="304">
        <f>K290*1625088/N290/(1024*1024)</f>
        <v>2.4796875</v>
      </c>
      <c r="P290" s="94">
        <f>O290*126.31/3600</f>
        <v>0.08700259114583332</v>
      </c>
      <c r="Q290" s="94">
        <f t="shared" si="59"/>
        <v>0.04339453124999999</v>
      </c>
      <c r="R290" s="94">
        <f>O290*42.139/3600</f>
        <v>0.02902543098958333</v>
      </c>
      <c r="S290" s="306" t="s">
        <v>162</v>
      </c>
      <c r="T290" s="305" t="s">
        <v>37</v>
      </c>
      <c r="U290" s="216" t="s">
        <v>305</v>
      </c>
      <c r="V290" s="288" t="s">
        <v>107</v>
      </c>
    </row>
    <row r="291" spans="1:22" ht="25.5">
      <c r="A291" s="348" t="s">
        <v>380</v>
      </c>
      <c r="B291" s="307"/>
      <c r="C291" s="308" t="s">
        <v>222</v>
      </c>
      <c r="D291" s="309">
        <v>36614</v>
      </c>
      <c r="E291" s="349">
        <v>89</v>
      </c>
      <c r="F291" s="311">
        <v>0.2916666666666667</v>
      </c>
      <c r="G291" s="310">
        <v>0.24861111111111112</v>
      </c>
      <c r="H291" s="311">
        <f t="shared" si="57"/>
        <v>0.5402777777777779</v>
      </c>
      <c r="I291" s="312"/>
      <c r="J291" s="313">
        <v>8</v>
      </c>
      <c r="K291" s="349">
        <v>440</v>
      </c>
      <c r="L291" s="312">
        <v>18</v>
      </c>
      <c r="M291" s="312">
        <v>4</v>
      </c>
      <c r="N291" s="312">
        <v>3</v>
      </c>
      <c r="O291" s="286">
        <f>K291*1625088/N291/(1024*1024)</f>
        <v>227.3046875</v>
      </c>
      <c r="P291" s="50">
        <f>O291*126.31/3600</f>
        <v>7.9752375217013896</v>
      </c>
      <c r="Q291" s="50">
        <f t="shared" si="59"/>
        <v>3.97783203125</v>
      </c>
      <c r="R291" s="50">
        <f>O291*42.139/3600</f>
        <v>2.6606645073784723</v>
      </c>
      <c r="S291" s="314" t="s">
        <v>162</v>
      </c>
      <c r="T291" s="287" t="s">
        <v>211</v>
      </c>
      <c r="U291" s="51" t="s">
        <v>8</v>
      </c>
      <c r="V291" s="308" t="s">
        <v>107</v>
      </c>
    </row>
    <row r="292" spans="1:22" ht="25.5">
      <c r="A292" s="346" t="s">
        <v>315</v>
      </c>
      <c r="B292" s="299"/>
      <c r="C292" s="290" t="s">
        <v>282</v>
      </c>
      <c r="D292" s="300">
        <v>36614</v>
      </c>
      <c r="E292" s="347">
        <v>89</v>
      </c>
      <c r="F292" s="285">
        <v>0.5520833333333334</v>
      </c>
      <c r="G292" s="301">
        <v>0.02152777777777778</v>
      </c>
      <c r="H292" s="285">
        <f t="shared" si="57"/>
        <v>0.5736111111111112</v>
      </c>
      <c r="I292" s="302" t="s">
        <v>287</v>
      </c>
      <c r="J292" s="303">
        <v>8</v>
      </c>
      <c r="K292" s="347">
        <v>9</v>
      </c>
      <c r="L292" s="302">
        <v>27</v>
      </c>
      <c r="M292" s="302">
        <v>4</v>
      </c>
      <c r="N292" s="302">
        <v>2.5</v>
      </c>
      <c r="O292" s="304">
        <f>2*K292*1625088/N292/(1024*1024)</f>
        <v>11.15859375</v>
      </c>
      <c r="P292" s="94">
        <f>O292*126.31/3600</f>
        <v>0.39151166015625</v>
      </c>
      <c r="Q292" s="94">
        <f t="shared" si="59"/>
        <v>0.195275390625</v>
      </c>
      <c r="R292" s="94">
        <f>O292*42.139/3600</f>
        <v>0.130614439453125</v>
      </c>
      <c r="S292" s="306" t="s">
        <v>162</v>
      </c>
      <c r="T292" s="305" t="s">
        <v>211</v>
      </c>
      <c r="U292" s="95" t="s">
        <v>19</v>
      </c>
      <c r="V292" s="288" t="s">
        <v>107</v>
      </c>
    </row>
    <row r="293" spans="1:22" ht="12.75">
      <c r="A293" s="191" t="s">
        <v>35</v>
      </c>
      <c r="B293" s="315"/>
      <c r="C293" s="316"/>
      <c r="D293" s="317">
        <v>36614</v>
      </c>
      <c r="E293" s="350">
        <v>89</v>
      </c>
      <c r="F293" s="319">
        <v>0.5861111111111111</v>
      </c>
      <c r="G293" s="318">
        <v>0.3333333333333333</v>
      </c>
      <c r="H293" s="319">
        <f t="shared" si="57"/>
        <v>0.9194444444444445</v>
      </c>
      <c r="I293" s="320"/>
      <c r="J293" s="321"/>
      <c r="K293" s="350"/>
      <c r="L293" s="320"/>
      <c r="M293" s="320"/>
      <c r="N293" s="320"/>
      <c r="O293" s="60">
        <f>SUM(O287:O292)</f>
        <v>374.88672625000004</v>
      </c>
      <c r="P293" s="60">
        <f>SUM(P287:P292)</f>
        <v>13.153317331288195</v>
      </c>
      <c r="Q293" s="60">
        <f>SUM(Q287:Q292)</f>
        <v>6.5605177093750005</v>
      </c>
      <c r="R293" s="60">
        <f>SUM(R287:R292)</f>
        <v>4.388153265957986</v>
      </c>
      <c r="S293" s="323"/>
      <c r="T293" s="322"/>
      <c r="U293" s="316"/>
      <c r="V293" s="316"/>
    </row>
    <row r="294" spans="1:22" ht="25.5">
      <c r="A294" s="346" t="s">
        <v>316</v>
      </c>
      <c r="B294" s="299"/>
      <c r="C294" s="290" t="s">
        <v>282</v>
      </c>
      <c r="D294" s="300">
        <v>36614</v>
      </c>
      <c r="E294" s="347">
        <v>89</v>
      </c>
      <c r="F294" s="285">
        <v>0.8715277777777778</v>
      </c>
      <c r="G294" s="301">
        <v>0.024305555555555556</v>
      </c>
      <c r="H294" s="285">
        <f t="shared" si="57"/>
        <v>0.8958333333333334</v>
      </c>
      <c r="I294" s="302" t="s">
        <v>287</v>
      </c>
      <c r="J294" s="303">
        <v>8</v>
      </c>
      <c r="K294" s="347">
        <v>12</v>
      </c>
      <c r="L294" s="302">
        <v>27</v>
      </c>
      <c r="M294" s="302">
        <v>4</v>
      </c>
      <c r="N294" s="302">
        <v>2.5</v>
      </c>
      <c r="O294" s="304">
        <f>2*K294*1625088/N294/(1024*1024)</f>
        <v>14.878125</v>
      </c>
      <c r="P294" s="94">
        <f>O294*126.31/3600</f>
        <v>0.5220155468750001</v>
      </c>
      <c r="Q294" s="94">
        <f aca="true" t="shared" si="60" ref="Q294:Q300">O294*63/3600</f>
        <v>0.26036718750000004</v>
      </c>
      <c r="R294" s="94">
        <f>O294*42.139/3600</f>
        <v>0.17415258593750002</v>
      </c>
      <c r="S294" s="306" t="s">
        <v>162</v>
      </c>
      <c r="T294" s="305" t="s">
        <v>211</v>
      </c>
      <c r="U294" s="95" t="s">
        <v>20</v>
      </c>
      <c r="V294" s="288" t="s">
        <v>107</v>
      </c>
    </row>
    <row r="295" spans="1:22" ht="51">
      <c r="A295" s="348" t="s">
        <v>317</v>
      </c>
      <c r="B295" s="307"/>
      <c r="C295" s="308" t="s">
        <v>222</v>
      </c>
      <c r="D295" s="309">
        <v>36615</v>
      </c>
      <c r="E295" s="349">
        <v>90</v>
      </c>
      <c r="F295" s="311">
        <v>0.041666666666666664</v>
      </c>
      <c r="G295" s="310">
        <v>0.22708333333333333</v>
      </c>
      <c r="H295" s="311">
        <f t="shared" si="57"/>
        <v>0.26875</v>
      </c>
      <c r="I295" s="312"/>
      <c r="J295" s="313">
        <v>8</v>
      </c>
      <c r="K295" s="349">
        <v>388</v>
      </c>
      <c r="L295" s="312">
        <v>18</v>
      </c>
      <c r="M295" s="312">
        <v>4</v>
      </c>
      <c r="N295" s="312">
        <v>2.5</v>
      </c>
      <c r="O295" s="286">
        <f>K295*1625088/N295/(1024*1024)</f>
        <v>240.5296875</v>
      </c>
      <c r="P295" s="50">
        <f>O295*126.31/3600</f>
        <v>8.439251341145834</v>
      </c>
      <c r="Q295" s="50">
        <f t="shared" si="60"/>
        <v>4.2092695312499995</v>
      </c>
      <c r="R295" s="50">
        <f>O295*42.139/3600</f>
        <v>2.8154668059895833</v>
      </c>
      <c r="S295" s="314" t="s">
        <v>162</v>
      </c>
      <c r="T295" s="287" t="s">
        <v>211</v>
      </c>
      <c r="U295" s="51" t="s">
        <v>9</v>
      </c>
      <c r="V295" s="308" t="s">
        <v>107</v>
      </c>
    </row>
    <row r="296" spans="1:22" ht="25.5">
      <c r="A296" s="355" t="s">
        <v>136</v>
      </c>
      <c r="B296" s="356"/>
      <c r="C296" s="357" t="s">
        <v>222</v>
      </c>
      <c r="D296" s="358">
        <v>36615</v>
      </c>
      <c r="E296" s="359">
        <v>90</v>
      </c>
      <c r="F296" s="360">
        <v>0.041666666666666664</v>
      </c>
      <c r="G296" s="361">
        <v>0.22708333333333333</v>
      </c>
      <c r="H296" s="360">
        <f>SUM(G296+F296)</f>
        <v>0.26875</v>
      </c>
      <c r="I296" s="362"/>
      <c r="J296" s="363"/>
      <c r="K296" s="359">
        <v>1160</v>
      </c>
      <c r="L296" s="362">
        <v>9</v>
      </c>
      <c r="M296" s="362"/>
      <c r="N296" s="362"/>
      <c r="O296" s="107">
        <f>K296*2864/2.5/1000000</f>
        <v>1.328896</v>
      </c>
      <c r="P296" s="108">
        <f>O296*126.31/3600</f>
        <v>0.046625792711111114</v>
      </c>
      <c r="Q296" s="108">
        <f t="shared" si="60"/>
        <v>0.02325568</v>
      </c>
      <c r="R296" s="108">
        <f>O296*42.139/3600</f>
        <v>0.01555509681777778</v>
      </c>
      <c r="S296" s="364" t="s">
        <v>162</v>
      </c>
      <c r="T296" s="365" t="s">
        <v>211</v>
      </c>
      <c r="U296" s="106" t="s">
        <v>4</v>
      </c>
      <c r="V296" s="357" t="s">
        <v>107</v>
      </c>
    </row>
    <row r="297" spans="1:22" ht="51">
      <c r="A297" s="348" t="s">
        <v>318</v>
      </c>
      <c r="B297" s="307"/>
      <c r="C297" s="308" t="s">
        <v>222</v>
      </c>
      <c r="D297" s="309">
        <v>36615</v>
      </c>
      <c r="E297" s="349">
        <v>90</v>
      </c>
      <c r="F297" s="311">
        <v>0.2708333333333333</v>
      </c>
      <c r="G297" s="310">
        <v>0.2569444444444445</v>
      </c>
      <c r="H297" s="311">
        <f t="shared" si="57"/>
        <v>0.5277777777777778</v>
      </c>
      <c r="I297" s="312"/>
      <c r="J297" s="313">
        <v>8</v>
      </c>
      <c r="K297" s="349">
        <v>437</v>
      </c>
      <c r="L297" s="312">
        <v>18</v>
      </c>
      <c r="M297" s="312">
        <v>4</v>
      </c>
      <c r="N297" s="312">
        <v>2.5</v>
      </c>
      <c r="O297" s="286">
        <f>K297*1625088/N297/(1024*1024)</f>
        <v>270.905859375</v>
      </c>
      <c r="P297" s="50">
        <f>O297*126.31/3600</f>
        <v>9.505033082682292</v>
      </c>
      <c r="Q297" s="50">
        <f t="shared" si="60"/>
        <v>4.740852539062499</v>
      </c>
      <c r="R297" s="50">
        <f>O297*42.139/3600</f>
        <v>3.1710283356119793</v>
      </c>
      <c r="S297" s="314" t="s">
        <v>162</v>
      </c>
      <c r="T297" s="287" t="s">
        <v>211</v>
      </c>
      <c r="U297" s="51" t="s">
        <v>9</v>
      </c>
      <c r="V297" s="308" t="s">
        <v>107</v>
      </c>
    </row>
    <row r="298" spans="1:22" ht="25.5">
      <c r="A298" s="355" t="s">
        <v>137</v>
      </c>
      <c r="B298" s="356"/>
      <c r="C298" s="357" t="s">
        <v>222</v>
      </c>
      <c r="D298" s="358">
        <v>36615</v>
      </c>
      <c r="E298" s="359">
        <v>90</v>
      </c>
      <c r="F298" s="360">
        <v>0.2708333333333333</v>
      </c>
      <c r="G298" s="361">
        <v>0.2569444444444445</v>
      </c>
      <c r="H298" s="360">
        <f>SUM(G298+F298)</f>
        <v>0.5277777777777778</v>
      </c>
      <c r="I298" s="362"/>
      <c r="J298" s="363"/>
      <c r="K298" s="359">
        <v>1160</v>
      </c>
      <c r="L298" s="362">
        <v>9</v>
      </c>
      <c r="M298" s="362"/>
      <c r="N298" s="362"/>
      <c r="O298" s="107">
        <f>K298*2864/2.5/1000000</f>
        <v>1.328896</v>
      </c>
      <c r="P298" s="108">
        <f>O298*126.31/3600</f>
        <v>0.046625792711111114</v>
      </c>
      <c r="Q298" s="108">
        <f t="shared" si="60"/>
        <v>0.02325568</v>
      </c>
      <c r="R298" s="108">
        <f>O298*42.139/3600</f>
        <v>0.01555509681777778</v>
      </c>
      <c r="S298" s="364" t="s">
        <v>162</v>
      </c>
      <c r="T298" s="365" t="s">
        <v>211</v>
      </c>
      <c r="U298" s="106" t="s">
        <v>4</v>
      </c>
      <c r="V298" s="357" t="s">
        <v>107</v>
      </c>
    </row>
    <row r="299" spans="1:22" ht="25.5">
      <c r="A299" s="346" t="s">
        <v>134</v>
      </c>
      <c r="B299" s="299"/>
      <c r="C299" s="290" t="s">
        <v>282</v>
      </c>
      <c r="D299" s="300">
        <v>36615</v>
      </c>
      <c r="E299" s="347">
        <v>90</v>
      </c>
      <c r="F299" s="285">
        <v>0.53125</v>
      </c>
      <c r="G299" s="301">
        <v>0.020833333333333332</v>
      </c>
      <c r="H299" s="285">
        <f t="shared" si="57"/>
        <v>0.5520833333333334</v>
      </c>
      <c r="I299" s="302"/>
      <c r="J299" s="303">
        <v>12</v>
      </c>
      <c r="K299" s="347">
        <v>4</v>
      </c>
      <c r="L299" s="302">
        <v>29</v>
      </c>
      <c r="M299" s="302">
        <v>0</v>
      </c>
      <c r="N299" s="302">
        <v>2.5</v>
      </c>
      <c r="O299" s="304">
        <f>K299*1625088/N299/(1024*1024)</f>
        <v>2.4796875</v>
      </c>
      <c r="P299" s="94">
        <f>O299*126.31/3600</f>
        <v>0.08700259114583332</v>
      </c>
      <c r="Q299" s="94">
        <f t="shared" si="60"/>
        <v>0.04339453124999999</v>
      </c>
      <c r="R299" s="94">
        <f>O299*42.139/3600</f>
        <v>0.02902543098958333</v>
      </c>
      <c r="S299" s="306" t="s">
        <v>162</v>
      </c>
      <c r="T299" s="305" t="s">
        <v>37</v>
      </c>
      <c r="U299" s="216" t="s">
        <v>305</v>
      </c>
      <c r="V299" s="288" t="s">
        <v>107</v>
      </c>
    </row>
    <row r="300" spans="1:22" ht="25.5">
      <c r="A300" s="346" t="s">
        <v>319</v>
      </c>
      <c r="B300" s="299"/>
      <c r="C300" s="290" t="s">
        <v>282</v>
      </c>
      <c r="D300" s="300">
        <v>36615</v>
      </c>
      <c r="E300" s="347">
        <v>90</v>
      </c>
      <c r="F300" s="285">
        <v>0.5520833333333334</v>
      </c>
      <c r="G300" s="301">
        <v>0.020833333333333332</v>
      </c>
      <c r="H300" s="285">
        <f t="shared" si="57"/>
        <v>0.5729166666666667</v>
      </c>
      <c r="I300" s="302" t="s">
        <v>397</v>
      </c>
      <c r="J300" s="303">
        <v>8</v>
      </c>
      <c r="K300" s="347">
        <v>12</v>
      </c>
      <c r="L300" s="302">
        <v>27</v>
      </c>
      <c r="M300" s="302">
        <v>4</v>
      </c>
      <c r="N300" s="302">
        <v>2.5</v>
      </c>
      <c r="O300" s="304">
        <f>K300*1625088/N300/(1024*1024)</f>
        <v>7.4390625</v>
      </c>
      <c r="P300" s="94">
        <f>O300*126.31/3600</f>
        <v>0.26100777343750003</v>
      </c>
      <c r="Q300" s="94">
        <f t="shared" si="60"/>
        <v>0.13018359375000002</v>
      </c>
      <c r="R300" s="94">
        <f>O300*42.139/3600</f>
        <v>0.08707629296875001</v>
      </c>
      <c r="S300" s="306" t="s">
        <v>162</v>
      </c>
      <c r="T300" s="305" t="s">
        <v>211</v>
      </c>
      <c r="U300" s="95" t="s">
        <v>27</v>
      </c>
      <c r="V300" s="288" t="s">
        <v>107</v>
      </c>
    </row>
    <row r="301" spans="1:22" ht="12.75">
      <c r="A301" s="191" t="s">
        <v>35</v>
      </c>
      <c r="B301" s="315"/>
      <c r="C301" s="316"/>
      <c r="D301" s="317">
        <v>36615</v>
      </c>
      <c r="E301" s="350">
        <v>90</v>
      </c>
      <c r="F301" s="319">
        <v>0.59375</v>
      </c>
      <c r="G301" s="318">
        <v>0.3611111111111111</v>
      </c>
      <c r="H301" s="319">
        <f t="shared" si="57"/>
        <v>0.9548611111111112</v>
      </c>
      <c r="I301" s="320"/>
      <c r="J301" s="321"/>
      <c r="K301" s="350"/>
      <c r="L301" s="320"/>
      <c r="M301" s="320"/>
      <c r="N301" s="320"/>
      <c r="O301" s="60">
        <f>SUM(O294:O300)</f>
        <v>538.8902138749999</v>
      </c>
      <c r="P301" s="60">
        <f>SUM(P294:P300)</f>
        <v>18.90756192070868</v>
      </c>
      <c r="Q301" s="60">
        <f>SUM(Q294:Q300)</f>
        <v>9.4305787428125</v>
      </c>
      <c r="R301" s="60">
        <f>SUM(R294:R300)</f>
        <v>6.307859645132952</v>
      </c>
      <c r="S301" s="323"/>
      <c r="T301" s="322"/>
      <c r="U301" s="316"/>
      <c r="V301" s="316"/>
    </row>
    <row r="302" spans="1:22" ht="25.5">
      <c r="A302" s="346" t="s">
        <v>320</v>
      </c>
      <c r="B302" s="299"/>
      <c r="C302" s="290" t="s">
        <v>282</v>
      </c>
      <c r="D302" s="300">
        <v>36615</v>
      </c>
      <c r="E302" s="347">
        <v>90</v>
      </c>
      <c r="F302" s="285">
        <v>0.9555555555555556</v>
      </c>
      <c r="G302" s="301">
        <v>0.024305555555555556</v>
      </c>
      <c r="H302" s="285">
        <f t="shared" si="57"/>
        <v>0.9798611111111112</v>
      </c>
      <c r="I302" s="302" t="s">
        <v>397</v>
      </c>
      <c r="J302" s="303">
        <v>8</v>
      </c>
      <c r="K302" s="347">
        <v>15</v>
      </c>
      <c r="L302" s="302">
        <v>27</v>
      </c>
      <c r="M302" s="302">
        <v>4</v>
      </c>
      <c r="N302" s="302">
        <v>2.5</v>
      </c>
      <c r="O302" s="304">
        <f>K302*1625088/N302/(1024*1024)</f>
        <v>9.298828125</v>
      </c>
      <c r="P302" s="94">
        <f>O302*126.31/3600</f>
        <v>0.32625971679687504</v>
      </c>
      <c r="Q302" s="94">
        <f aca="true" t="shared" si="61" ref="Q302:Q308">O302*63/3600</f>
        <v>0.1627294921875</v>
      </c>
      <c r="R302" s="94">
        <f>O302*42.139/3600</f>
        <v>0.1088453662109375</v>
      </c>
      <c r="S302" s="306" t="s">
        <v>162</v>
      </c>
      <c r="T302" s="305" t="s">
        <v>211</v>
      </c>
      <c r="U302" s="95" t="s">
        <v>30</v>
      </c>
      <c r="V302" s="288" t="s">
        <v>107</v>
      </c>
    </row>
    <row r="303" spans="1:22" ht="38.25">
      <c r="A303" s="348" t="s">
        <v>321</v>
      </c>
      <c r="B303" s="307"/>
      <c r="C303" s="308" t="s">
        <v>247</v>
      </c>
      <c r="D303" s="309">
        <v>36616</v>
      </c>
      <c r="E303" s="349">
        <v>91</v>
      </c>
      <c r="F303" s="311">
        <v>0.07291666666666667</v>
      </c>
      <c r="G303" s="310">
        <v>0.2298611111111111</v>
      </c>
      <c r="H303" s="311">
        <f t="shared" si="57"/>
        <v>0.30277777777777776</v>
      </c>
      <c r="I303" s="312"/>
      <c r="J303" s="313">
        <v>8</v>
      </c>
      <c r="K303" s="349">
        <v>321</v>
      </c>
      <c r="L303" s="312">
        <v>1</v>
      </c>
      <c r="M303" s="312">
        <v>4</v>
      </c>
      <c r="N303" s="312">
        <v>3</v>
      </c>
      <c r="O303" s="286">
        <f>K303*1625088/N303/(1024*1024)</f>
        <v>165.8291015625</v>
      </c>
      <c r="P303" s="50">
        <f>O303*126.31/3600</f>
        <v>5.8182982828776035</v>
      </c>
      <c r="Q303" s="50">
        <f t="shared" si="61"/>
        <v>2.90200927734375</v>
      </c>
      <c r="R303" s="50">
        <f>O303*42.139/3600</f>
        <v>1.9410756974283856</v>
      </c>
      <c r="S303" s="314" t="s">
        <v>162</v>
      </c>
      <c r="T303" s="287" t="s">
        <v>211</v>
      </c>
      <c r="U303" s="51" t="s">
        <v>10</v>
      </c>
      <c r="V303" s="308" t="s">
        <v>107</v>
      </c>
    </row>
    <row r="304" spans="1:22" ht="25.5">
      <c r="A304" s="355" t="s">
        <v>138</v>
      </c>
      <c r="B304" s="356"/>
      <c r="C304" s="357" t="s">
        <v>222</v>
      </c>
      <c r="D304" s="358">
        <v>36616</v>
      </c>
      <c r="E304" s="359">
        <v>91</v>
      </c>
      <c r="F304" s="360">
        <v>0.07291666666666667</v>
      </c>
      <c r="G304" s="361">
        <v>0.2298611111111111</v>
      </c>
      <c r="H304" s="360">
        <f>SUM(G304+F304)</f>
        <v>0.30277777777777776</v>
      </c>
      <c r="I304" s="362"/>
      <c r="J304" s="363"/>
      <c r="K304" s="359">
        <v>1302</v>
      </c>
      <c r="L304" s="362">
        <v>3</v>
      </c>
      <c r="M304" s="362"/>
      <c r="N304" s="362"/>
      <c r="O304" s="107">
        <f>K304*2864/2.5/1000000</f>
        <v>1.4915711999999999</v>
      </c>
      <c r="P304" s="108">
        <f>O304*126.31/3600</f>
        <v>0.05233343285333333</v>
      </c>
      <c r="Q304" s="108">
        <f t="shared" si="61"/>
        <v>0.026102496</v>
      </c>
      <c r="R304" s="108">
        <f>O304*42.139/3600</f>
        <v>0.017459255221333334</v>
      </c>
      <c r="S304" s="364" t="s">
        <v>162</v>
      </c>
      <c r="T304" s="365" t="s">
        <v>211</v>
      </c>
      <c r="U304" s="106" t="s">
        <v>6</v>
      </c>
      <c r="V304" s="357" t="s">
        <v>107</v>
      </c>
    </row>
    <row r="305" spans="1:22" ht="25.5">
      <c r="A305" s="348" t="s">
        <v>322</v>
      </c>
      <c r="B305" s="307"/>
      <c r="C305" s="308" t="s">
        <v>222</v>
      </c>
      <c r="D305" s="309">
        <v>36616</v>
      </c>
      <c r="E305" s="349">
        <v>91</v>
      </c>
      <c r="F305" s="311">
        <v>0.30277777777777776</v>
      </c>
      <c r="G305" s="310">
        <v>0.2375</v>
      </c>
      <c r="H305" s="311">
        <f t="shared" si="57"/>
        <v>0.5402777777777777</v>
      </c>
      <c r="I305" s="312"/>
      <c r="J305" s="313">
        <v>8</v>
      </c>
      <c r="K305" s="349">
        <f>81+78+81+63+17+78+99</f>
        <v>497</v>
      </c>
      <c r="L305" s="312">
        <v>18</v>
      </c>
      <c r="M305" s="312">
        <v>4</v>
      </c>
      <c r="N305" s="312">
        <v>2.5</v>
      </c>
      <c r="O305" s="286">
        <f>K305*1625088/N305/(1024*1024)</f>
        <v>308.101171875</v>
      </c>
      <c r="P305" s="50">
        <f>O305*126.31/3600</f>
        <v>10.810071949869792</v>
      </c>
      <c r="Q305" s="50">
        <f t="shared" si="61"/>
        <v>5.391770507812499</v>
      </c>
      <c r="R305" s="50">
        <f>O305*42.139/3600</f>
        <v>3.6064098004557295</v>
      </c>
      <c r="S305" s="314" t="s">
        <v>162</v>
      </c>
      <c r="T305" s="287" t="s">
        <v>211</v>
      </c>
      <c r="U305" s="51" t="s">
        <v>381</v>
      </c>
      <c r="V305" s="308" t="s">
        <v>107</v>
      </c>
    </row>
    <row r="306" spans="1:22" ht="25.5">
      <c r="A306" s="355" t="s">
        <v>139</v>
      </c>
      <c r="B306" s="356"/>
      <c r="C306" s="357" t="s">
        <v>222</v>
      </c>
      <c r="D306" s="358">
        <v>36616</v>
      </c>
      <c r="E306" s="359">
        <v>91</v>
      </c>
      <c r="F306" s="360">
        <v>0.30277777777777776</v>
      </c>
      <c r="G306" s="361">
        <v>0.2375</v>
      </c>
      <c r="H306" s="360">
        <f>SUM(G306+F306)</f>
        <v>0.5402777777777777</v>
      </c>
      <c r="I306" s="362"/>
      <c r="J306" s="363"/>
      <c r="K306" s="359">
        <v>1928</v>
      </c>
      <c r="L306" s="362">
        <v>5</v>
      </c>
      <c r="M306" s="362"/>
      <c r="N306" s="362"/>
      <c r="O306" s="107">
        <f>K306*2864/2.5/1000000</f>
        <v>2.2087168</v>
      </c>
      <c r="P306" s="108">
        <f>O306*126.31/3600</f>
        <v>0.07749528305777777</v>
      </c>
      <c r="Q306" s="108">
        <f t="shared" si="61"/>
        <v>0.038652544000000004</v>
      </c>
      <c r="R306" s="108">
        <f>O306*42.139/3600</f>
        <v>0.025853643676444445</v>
      </c>
      <c r="S306" s="364" t="s">
        <v>162</v>
      </c>
      <c r="T306" s="365" t="s">
        <v>211</v>
      </c>
      <c r="U306" s="106" t="s">
        <v>5</v>
      </c>
      <c r="V306" s="357" t="s">
        <v>107</v>
      </c>
    </row>
    <row r="307" spans="1:22" ht="25.5">
      <c r="A307" s="346" t="s">
        <v>140</v>
      </c>
      <c r="B307" s="299"/>
      <c r="C307" s="290" t="s">
        <v>282</v>
      </c>
      <c r="D307" s="300">
        <v>36616</v>
      </c>
      <c r="E307" s="347">
        <v>91</v>
      </c>
      <c r="F307" s="285">
        <v>0.5423611111111112</v>
      </c>
      <c r="G307" s="301">
        <v>0.020833333333333332</v>
      </c>
      <c r="H307" s="285">
        <f t="shared" si="57"/>
        <v>0.5631944444444446</v>
      </c>
      <c r="I307" s="302"/>
      <c r="J307" s="303">
        <v>12</v>
      </c>
      <c r="K307" s="347">
        <v>4</v>
      </c>
      <c r="L307" s="302">
        <v>29</v>
      </c>
      <c r="M307" s="302">
        <v>0</v>
      </c>
      <c r="N307" s="302">
        <v>2.5</v>
      </c>
      <c r="O307" s="304">
        <f>K307*1625088/N307/(1024*1024)</f>
        <v>2.4796875</v>
      </c>
      <c r="P307" s="94">
        <f>O307*126.31/3600</f>
        <v>0.08700259114583332</v>
      </c>
      <c r="Q307" s="94">
        <f t="shared" si="61"/>
        <v>0.04339453124999999</v>
      </c>
      <c r="R307" s="94">
        <f>O307*42.139/3600</f>
        <v>0.02902543098958333</v>
      </c>
      <c r="S307" s="306" t="s">
        <v>162</v>
      </c>
      <c r="T307" s="305" t="s">
        <v>37</v>
      </c>
      <c r="U307" s="216" t="s">
        <v>305</v>
      </c>
      <c r="V307" s="288" t="s">
        <v>107</v>
      </c>
    </row>
    <row r="308" spans="1:22" ht="25.5">
      <c r="A308" s="346" t="s">
        <v>323</v>
      </c>
      <c r="B308" s="299"/>
      <c r="C308" s="290" t="s">
        <v>282</v>
      </c>
      <c r="D308" s="300">
        <v>36616</v>
      </c>
      <c r="E308" s="347">
        <v>91</v>
      </c>
      <c r="F308" s="285">
        <v>0.5625</v>
      </c>
      <c r="G308" s="301">
        <v>0.020833333333333332</v>
      </c>
      <c r="H308" s="285">
        <f t="shared" si="57"/>
        <v>0.5833333333333334</v>
      </c>
      <c r="I308" s="302" t="s">
        <v>397</v>
      </c>
      <c r="J308" s="303">
        <v>8</v>
      </c>
      <c r="K308" s="347">
        <v>15</v>
      </c>
      <c r="L308" s="302">
        <v>27</v>
      </c>
      <c r="M308" s="302">
        <v>4</v>
      </c>
      <c r="N308" s="302">
        <v>2.5</v>
      </c>
      <c r="O308" s="304">
        <f>K308*1625088/N308/(1024*1024)</f>
        <v>9.298828125</v>
      </c>
      <c r="P308" s="94">
        <f>O308*126.31/3600</f>
        <v>0.32625971679687504</v>
      </c>
      <c r="Q308" s="94">
        <f t="shared" si="61"/>
        <v>0.1627294921875</v>
      </c>
      <c r="R308" s="94">
        <f>O308*42.139/3600</f>
        <v>0.1088453662109375</v>
      </c>
      <c r="S308" s="306" t="s">
        <v>162</v>
      </c>
      <c r="T308" s="305" t="s">
        <v>211</v>
      </c>
      <c r="U308" s="95" t="s">
        <v>30</v>
      </c>
      <c r="V308" s="288" t="s">
        <v>107</v>
      </c>
    </row>
    <row r="309" spans="1:22" ht="12.75">
      <c r="A309" s="191" t="s">
        <v>35</v>
      </c>
      <c r="B309" s="315"/>
      <c r="C309" s="316"/>
      <c r="D309" s="317">
        <v>36616</v>
      </c>
      <c r="E309" s="350">
        <v>91</v>
      </c>
      <c r="F309" s="319">
        <v>0.5875</v>
      </c>
      <c r="G309" s="318">
        <v>0.3229166666666667</v>
      </c>
      <c r="H309" s="319">
        <f t="shared" si="57"/>
        <v>0.9104166666666667</v>
      </c>
      <c r="I309" s="320"/>
      <c r="J309" s="321"/>
      <c r="K309" s="350"/>
      <c r="L309" s="320"/>
      <c r="M309" s="320"/>
      <c r="N309" s="320"/>
      <c r="O309" s="60">
        <f>SUM(O302:O308)</f>
        <v>498.7079051875</v>
      </c>
      <c r="P309" s="60">
        <f>SUM(P302:P308)</f>
        <v>17.497720973398092</v>
      </c>
      <c r="Q309" s="60">
        <f>SUM(Q302:Q308)</f>
        <v>8.727388340781248</v>
      </c>
      <c r="R309" s="60">
        <f>SUM(R302:R308)</f>
        <v>5.837514560193352</v>
      </c>
      <c r="S309" s="323"/>
      <c r="T309" s="322"/>
      <c r="U309" s="316"/>
      <c r="V309" s="316"/>
    </row>
    <row r="310" spans="1:22" ht="25.5">
      <c r="A310" s="346" t="s">
        <v>324</v>
      </c>
      <c r="B310" s="299"/>
      <c r="C310" s="290" t="s">
        <v>282</v>
      </c>
      <c r="D310" s="300">
        <v>36616</v>
      </c>
      <c r="E310" s="347">
        <v>91</v>
      </c>
      <c r="F310" s="285">
        <v>0.9097222222222222</v>
      </c>
      <c r="G310" s="301">
        <v>0.024305555555555556</v>
      </c>
      <c r="H310" s="285">
        <f t="shared" si="57"/>
        <v>0.9340277777777778</v>
      </c>
      <c r="I310" s="302" t="s">
        <v>397</v>
      </c>
      <c r="J310" s="303">
        <v>8</v>
      </c>
      <c r="K310" s="347">
        <v>9</v>
      </c>
      <c r="L310" s="302">
        <v>27</v>
      </c>
      <c r="M310" s="302">
        <v>4</v>
      </c>
      <c r="N310" s="302">
        <v>2.5</v>
      </c>
      <c r="O310" s="304">
        <f>K310*1625088/N310/(1024*1024)</f>
        <v>5.579296875</v>
      </c>
      <c r="P310" s="94">
        <f>O310*126.31/3600</f>
        <v>0.195755830078125</v>
      </c>
      <c r="Q310" s="94">
        <f aca="true" t="shared" si="62" ref="Q310:Q316">O310*63/3600</f>
        <v>0.0976376953125</v>
      </c>
      <c r="R310" s="94">
        <f>O310*42.139/3600</f>
        <v>0.0653072197265625</v>
      </c>
      <c r="S310" s="306" t="s">
        <v>162</v>
      </c>
      <c r="T310" s="305" t="s">
        <v>211</v>
      </c>
      <c r="U310" s="95" t="s">
        <v>19</v>
      </c>
      <c r="V310" s="288" t="s">
        <v>107</v>
      </c>
    </row>
    <row r="311" spans="1:22" ht="25.5">
      <c r="A311" s="348" t="s">
        <v>325</v>
      </c>
      <c r="B311" s="307"/>
      <c r="C311" s="308" t="s">
        <v>222</v>
      </c>
      <c r="D311" s="309">
        <v>36617</v>
      </c>
      <c r="E311" s="349">
        <v>92</v>
      </c>
      <c r="F311" s="311">
        <v>0.027777777777777776</v>
      </c>
      <c r="G311" s="310">
        <v>0.2236111111111111</v>
      </c>
      <c r="H311" s="311">
        <f t="shared" si="57"/>
        <v>0.2513888888888889</v>
      </c>
      <c r="I311" s="312"/>
      <c r="J311" s="313">
        <v>8</v>
      </c>
      <c r="K311" s="349">
        <f>105+80+127</f>
        <v>312</v>
      </c>
      <c r="L311" s="312">
        <v>1</v>
      </c>
      <c r="M311" s="312">
        <v>4</v>
      </c>
      <c r="N311" s="312">
        <v>2.8</v>
      </c>
      <c r="O311" s="286">
        <f>K311*1625088/N311/(1024*1024)</f>
        <v>172.69252232142858</v>
      </c>
      <c r="P311" s="50">
        <f>O311*126.31/3600</f>
        <v>6.059109026227679</v>
      </c>
      <c r="Q311" s="50">
        <f t="shared" si="62"/>
        <v>3.022119140625</v>
      </c>
      <c r="R311" s="50">
        <f>O311*42.139/3600</f>
        <v>2.0214139439174112</v>
      </c>
      <c r="S311" s="314" t="s">
        <v>162</v>
      </c>
      <c r="T311" s="287" t="s">
        <v>211</v>
      </c>
      <c r="U311" s="51" t="s">
        <v>12</v>
      </c>
      <c r="V311" s="308" t="s">
        <v>107</v>
      </c>
    </row>
    <row r="312" spans="1:22" ht="25.5">
      <c r="A312" s="355" t="s">
        <v>141</v>
      </c>
      <c r="B312" s="356"/>
      <c r="C312" s="357" t="s">
        <v>222</v>
      </c>
      <c r="D312" s="358">
        <v>36617</v>
      </c>
      <c r="E312" s="359">
        <v>92</v>
      </c>
      <c r="F312" s="360">
        <v>0.027777777777777776</v>
      </c>
      <c r="G312" s="361">
        <v>0.2236111111111111</v>
      </c>
      <c r="H312" s="360">
        <f>SUM(G312+F312)</f>
        <v>0.2513888888888889</v>
      </c>
      <c r="I312" s="362"/>
      <c r="J312" s="363"/>
      <c r="K312" s="359">
        <v>1160</v>
      </c>
      <c r="L312" s="362">
        <v>9</v>
      </c>
      <c r="M312" s="362"/>
      <c r="N312" s="362"/>
      <c r="O312" s="107">
        <f>K312*2864/2.5/1000000</f>
        <v>1.328896</v>
      </c>
      <c r="P312" s="108">
        <f>O312*126.31/3600</f>
        <v>0.046625792711111114</v>
      </c>
      <c r="Q312" s="108">
        <f t="shared" si="62"/>
        <v>0.02325568</v>
      </c>
      <c r="R312" s="108">
        <f>O312*42.139/3600</f>
        <v>0.01555509681777778</v>
      </c>
      <c r="S312" s="364" t="s">
        <v>162</v>
      </c>
      <c r="T312" s="365" t="s">
        <v>211</v>
      </c>
      <c r="U312" s="106" t="s">
        <v>4</v>
      </c>
      <c r="V312" s="357" t="s">
        <v>107</v>
      </c>
    </row>
    <row r="313" spans="1:22" ht="25.5">
      <c r="A313" s="348" t="s">
        <v>326</v>
      </c>
      <c r="B313" s="307"/>
      <c r="C313" s="308" t="s">
        <v>222</v>
      </c>
      <c r="D313" s="309">
        <v>36617</v>
      </c>
      <c r="E313" s="349">
        <v>92</v>
      </c>
      <c r="F313" s="311">
        <v>0.2708333333333333</v>
      </c>
      <c r="G313" s="310">
        <v>0.22430555555555556</v>
      </c>
      <c r="H313" s="311">
        <f t="shared" si="57"/>
        <v>0.4951388888888889</v>
      </c>
      <c r="I313" s="312"/>
      <c r="J313" s="313">
        <v>8</v>
      </c>
      <c r="K313" s="349">
        <f>165+120+192</f>
        <v>477</v>
      </c>
      <c r="L313" s="312">
        <v>1</v>
      </c>
      <c r="M313" s="312">
        <v>4</v>
      </c>
      <c r="N313" s="312">
        <v>2.8</v>
      </c>
      <c r="O313" s="286">
        <f>K313*1625088/N313/(1024*1024)</f>
        <v>264.02029854910717</v>
      </c>
      <c r="P313" s="50">
        <f>O313*126.31/3600</f>
        <v>9.2634455304827</v>
      </c>
      <c r="Q313" s="50">
        <f t="shared" si="62"/>
        <v>4.620355224609375</v>
      </c>
      <c r="R313" s="50">
        <f>O313*42.139/3600</f>
        <v>3.090430933489119</v>
      </c>
      <c r="S313" s="314" t="s">
        <v>162</v>
      </c>
      <c r="T313" s="287" t="s">
        <v>211</v>
      </c>
      <c r="U313" s="51" t="s">
        <v>11</v>
      </c>
      <c r="V313" s="308" t="s">
        <v>107</v>
      </c>
    </row>
    <row r="314" spans="1:22" ht="25.5">
      <c r="A314" s="355" t="s">
        <v>142</v>
      </c>
      <c r="B314" s="356"/>
      <c r="C314" s="357" t="s">
        <v>222</v>
      </c>
      <c r="D314" s="358">
        <v>36617</v>
      </c>
      <c r="E314" s="359">
        <v>92</v>
      </c>
      <c r="F314" s="360">
        <v>0.2708333333333333</v>
      </c>
      <c r="G314" s="361">
        <v>0.22430555555555556</v>
      </c>
      <c r="H314" s="360">
        <f>SUM(G314+F314)</f>
        <v>0.4951388888888889</v>
      </c>
      <c r="I314" s="362"/>
      <c r="J314" s="363"/>
      <c r="K314" s="359">
        <f>20*58</f>
        <v>1160</v>
      </c>
      <c r="L314" s="362">
        <v>9</v>
      </c>
      <c r="M314" s="362"/>
      <c r="N314" s="362"/>
      <c r="O314" s="107">
        <f>K314*2864/2.5/1000000</f>
        <v>1.328896</v>
      </c>
      <c r="P314" s="108">
        <f>O314*126.31/3600</f>
        <v>0.046625792711111114</v>
      </c>
      <c r="Q314" s="108">
        <f t="shared" si="62"/>
        <v>0.02325568</v>
      </c>
      <c r="R314" s="108">
        <f>O314*42.139/3600</f>
        <v>0.01555509681777778</v>
      </c>
      <c r="S314" s="364" t="s">
        <v>162</v>
      </c>
      <c r="T314" s="365" t="s">
        <v>211</v>
      </c>
      <c r="U314" s="106" t="s">
        <v>4</v>
      </c>
      <c r="V314" s="357" t="s">
        <v>107</v>
      </c>
    </row>
    <row r="315" spans="1:22" ht="25.5">
      <c r="A315" s="346" t="s">
        <v>143</v>
      </c>
      <c r="B315" s="299"/>
      <c r="C315" s="290" t="s">
        <v>282</v>
      </c>
      <c r="D315" s="300">
        <v>36617</v>
      </c>
      <c r="E315" s="347">
        <v>92</v>
      </c>
      <c r="F315" s="285">
        <v>0.525</v>
      </c>
      <c r="G315" s="301">
        <v>0.020833333333333332</v>
      </c>
      <c r="H315" s="285">
        <f t="shared" si="57"/>
        <v>0.5458333333333334</v>
      </c>
      <c r="I315" s="302"/>
      <c r="J315" s="303">
        <v>12</v>
      </c>
      <c r="K315" s="347">
        <v>4</v>
      </c>
      <c r="L315" s="302">
        <v>29</v>
      </c>
      <c r="M315" s="302">
        <v>0</v>
      </c>
      <c r="N315" s="302">
        <v>2.5</v>
      </c>
      <c r="O315" s="304">
        <f>K315*1625088/N315/(1024*1024)</f>
        <v>2.4796875</v>
      </c>
      <c r="P315" s="94">
        <f>O315*126.31/3600</f>
        <v>0.08700259114583332</v>
      </c>
      <c r="Q315" s="94">
        <f t="shared" si="62"/>
        <v>0.04339453124999999</v>
      </c>
      <c r="R315" s="94">
        <f>O315*42.139/3600</f>
        <v>0.02902543098958333</v>
      </c>
      <c r="S315" s="306" t="s">
        <v>162</v>
      </c>
      <c r="T315" s="305" t="s">
        <v>37</v>
      </c>
      <c r="U315" s="216" t="s">
        <v>305</v>
      </c>
      <c r="V315" s="288" t="s">
        <v>107</v>
      </c>
    </row>
    <row r="316" spans="1:22" ht="25.5">
      <c r="A316" s="346" t="s">
        <v>159</v>
      </c>
      <c r="B316" s="299"/>
      <c r="C316" s="290" t="s">
        <v>282</v>
      </c>
      <c r="D316" s="300">
        <v>36617</v>
      </c>
      <c r="E316" s="347">
        <v>92</v>
      </c>
      <c r="F316" s="285">
        <v>0.545138888888889</v>
      </c>
      <c r="G316" s="301">
        <v>0.020833333333333332</v>
      </c>
      <c r="H316" s="285">
        <f t="shared" si="57"/>
        <v>0.5659722222222223</v>
      </c>
      <c r="I316" s="302" t="s">
        <v>397</v>
      </c>
      <c r="J316" s="303">
        <v>8</v>
      </c>
      <c r="K316" s="347">
        <v>12</v>
      </c>
      <c r="L316" s="302">
        <v>27</v>
      </c>
      <c r="M316" s="302">
        <v>4</v>
      </c>
      <c r="N316" s="302">
        <v>2.5</v>
      </c>
      <c r="O316" s="304">
        <f>K316*1625088/N316/(1024*1024)</f>
        <v>7.4390625</v>
      </c>
      <c r="P316" s="94">
        <f>O316*126.31/3600</f>
        <v>0.26100777343750003</v>
      </c>
      <c r="Q316" s="94">
        <f t="shared" si="62"/>
        <v>0.13018359375000002</v>
      </c>
      <c r="R316" s="94">
        <f>O316*42.139/3600</f>
        <v>0.08707629296875001</v>
      </c>
      <c r="S316" s="306" t="s">
        <v>162</v>
      </c>
      <c r="T316" s="305" t="s">
        <v>211</v>
      </c>
      <c r="U316" s="95" t="s">
        <v>20</v>
      </c>
      <c r="V316" s="288" t="s">
        <v>107</v>
      </c>
    </row>
    <row r="317" spans="1:22" ht="12.75">
      <c r="A317" s="191" t="s">
        <v>35</v>
      </c>
      <c r="B317" s="315"/>
      <c r="C317" s="316"/>
      <c r="D317" s="317">
        <v>36617</v>
      </c>
      <c r="E317" s="350">
        <v>92</v>
      </c>
      <c r="F317" s="319">
        <v>0.5902777777777778</v>
      </c>
      <c r="G317" s="318">
        <v>0.3194444444444445</v>
      </c>
      <c r="H317" s="319">
        <f t="shared" si="57"/>
        <v>0.9097222222222223</v>
      </c>
      <c r="I317" s="320"/>
      <c r="J317" s="321"/>
      <c r="K317" s="350"/>
      <c r="L317" s="320"/>
      <c r="M317" s="320"/>
      <c r="N317" s="320"/>
      <c r="O317" s="60">
        <f>SUM(O310:O316)</f>
        <v>454.8686597455357</v>
      </c>
      <c r="P317" s="60">
        <f>SUM(P310:P316)</f>
        <v>15.959572336794059</v>
      </c>
      <c r="Q317" s="60">
        <f>SUM(Q310:Q316)</f>
        <v>7.960201545546875</v>
      </c>
      <c r="R317" s="60">
        <f>SUM(R310:R316)</f>
        <v>5.3243640147269815</v>
      </c>
      <c r="S317" s="323"/>
      <c r="T317" s="322"/>
      <c r="U317" s="316"/>
      <c r="V317" s="316"/>
    </row>
    <row r="318" spans="1:22" ht="25.5">
      <c r="A318" s="346" t="s">
        <v>160</v>
      </c>
      <c r="B318" s="299"/>
      <c r="C318" s="290" t="s">
        <v>282</v>
      </c>
      <c r="D318" s="300">
        <v>36617</v>
      </c>
      <c r="E318" s="347">
        <v>92</v>
      </c>
      <c r="F318" s="285">
        <v>0.9104166666666668</v>
      </c>
      <c r="G318" s="301">
        <v>0.024305555555555556</v>
      </c>
      <c r="H318" s="285">
        <f t="shared" si="57"/>
        <v>0.9347222222222223</v>
      </c>
      <c r="I318" s="302" t="s">
        <v>397</v>
      </c>
      <c r="J318" s="303">
        <v>8</v>
      </c>
      <c r="K318" s="347">
        <v>12</v>
      </c>
      <c r="L318" s="302">
        <v>27</v>
      </c>
      <c r="M318" s="302">
        <v>4</v>
      </c>
      <c r="N318" s="302">
        <v>2.5</v>
      </c>
      <c r="O318" s="304">
        <f>K318*1625088/N318/(1024*1024)</f>
        <v>7.4390625</v>
      </c>
      <c r="P318" s="94">
        <f>O318*126.31/3600</f>
        <v>0.26100777343750003</v>
      </c>
      <c r="Q318" s="94">
        <f>O318*63/3600</f>
        <v>0.13018359375000002</v>
      </c>
      <c r="R318" s="94">
        <f>O318*42.139/3600</f>
        <v>0.08707629296875001</v>
      </c>
      <c r="S318" s="306" t="s">
        <v>162</v>
      </c>
      <c r="T318" s="305" t="s">
        <v>211</v>
      </c>
      <c r="U318" s="95" t="s">
        <v>20</v>
      </c>
      <c r="V318" s="288" t="s">
        <v>107</v>
      </c>
    </row>
    <row r="319" spans="1:22" ht="12.75">
      <c r="A319" s="192" t="s">
        <v>144</v>
      </c>
      <c r="B319" s="65"/>
      <c r="C319" s="64"/>
      <c r="D319" s="66">
        <v>36618</v>
      </c>
      <c r="E319" s="67" t="s">
        <v>145</v>
      </c>
      <c r="F319" s="68">
        <v>0.13541666666666666</v>
      </c>
      <c r="G319" s="71"/>
      <c r="H319" s="68"/>
      <c r="I319" s="71"/>
      <c r="J319" s="70"/>
      <c r="K319" s="276"/>
      <c r="L319" s="71"/>
      <c r="M319" s="71"/>
      <c r="N319" s="71"/>
      <c r="O319" s="72"/>
      <c r="P319" s="73"/>
      <c r="Q319" s="73"/>
      <c r="R319" s="73"/>
      <c r="S319" s="67"/>
      <c r="T319" s="73"/>
      <c r="U319" s="74"/>
      <c r="V319" s="64"/>
    </row>
    <row r="320" spans="1:22" ht="25.5">
      <c r="A320" s="346" t="s">
        <v>146</v>
      </c>
      <c r="B320" s="299"/>
      <c r="C320" s="290" t="s">
        <v>282</v>
      </c>
      <c r="D320" s="300">
        <v>36618</v>
      </c>
      <c r="E320" s="347">
        <v>93</v>
      </c>
      <c r="F320" s="285">
        <v>0.17708333333333334</v>
      </c>
      <c r="G320" s="301">
        <v>0.024305555555555556</v>
      </c>
      <c r="H320" s="285">
        <f t="shared" si="57"/>
        <v>0.2013888888888889</v>
      </c>
      <c r="I320" s="302" t="s">
        <v>287</v>
      </c>
      <c r="J320" s="303">
        <v>8</v>
      </c>
      <c r="K320" s="347">
        <v>12</v>
      </c>
      <c r="L320" s="302">
        <v>27</v>
      </c>
      <c r="M320" s="302">
        <v>4</v>
      </c>
      <c r="N320" s="302">
        <v>2.5</v>
      </c>
      <c r="O320" s="304">
        <f>2*K320*1625088/N320/(1024*1024)</f>
        <v>14.878125</v>
      </c>
      <c r="P320" s="94">
        <f aca="true" t="shared" si="63" ref="P320:P336">O320*126.31/3600</f>
        <v>0.5220155468750001</v>
      </c>
      <c r="Q320" s="94">
        <f>O320*63/3600</f>
        <v>0.26036718750000004</v>
      </c>
      <c r="R320" s="94">
        <f>O320*42.139/3600</f>
        <v>0.17415258593750002</v>
      </c>
      <c r="S320" s="306" t="s">
        <v>162</v>
      </c>
      <c r="T320" s="305" t="s">
        <v>211</v>
      </c>
      <c r="U320" s="95" t="s">
        <v>20</v>
      </c>
      <c r="V320" s="288" t="s">
        <v>107</v>
      </c>
    </row>
    <row r="321" spans="1:22" ht="12.75">
      <c r="A321" s="191" t="s">
        <v>35</v>
      </c>
      <c r="B321" s="315"/>
      <c r="C321" s="316"/>
      <c r="D321" s="317">
        <v>36618</v>
      </c>
      <c r="E321" s="350">
        <v>93</v>
      </c>
      <c r="F321" s="319">
        <v>0.20833333333333334</v>
      </c>
      <c r="G321" s="318">
        <v>0.09027777777777778</v>
      </c>
      <c r="H321" s="319">
        <f>SUM(G321+F321)</f>
        <v>0.2986111111111111</v>
      </c>
      <c r="I321" s="320"/>
      <c r="J321" s="321"/>
      <c r="K321" s="350"/>
      <c r="L321" s="320"/>
      <c r="M321" s="320"/>
      <c r="N321" s="320"/>
      <c r="O321" s="60">
        <f>O320</f>
        <v>14.878125</v>
      </c>
      <c r="P321" s="60">
        <f>P320</f>
        <v>0.5220155468750001</v>
      </c>
      <c r="Q321" s="60">
        <f>Q320</f>
        <v>0.26036718750000004</v>
      </c>
      <c r="R321" s="60">
        <f>R320</f>
        <v>0.17415258593750002</v>
      </c>
      <c r="S321" s="323"/>
      <c r="T321" s="322"/>
      <c r="U321" s="316"/>
      <c r="V321" s="316"/>
    </row>
    <row r="322" spans="1:22" ht="25.5">
      <c r="A322" s="346" t="s">
        <v>387</v>
      </c>
      <c r="B322" s="299"/>
      <c r="C322" s="290" t="s">
        <v>282</v>
      </c>
      <c r="D322" s="300">
        <v>36618</v>
      </c>
      <c r="E322" s="347">
        <v>93</v>
      </c>
      <c r="F322" s="285">
        <v>0.3020833333333333</v>
      </c>
      <c r="G322" s="301">
        <v>0.024305555555555556</v>
      </c>
      <c r="H322" s="285">
        <f>SUM(G322+F322)</f>
        <v>0.3263888888888889</v>
      </c>
      <c r="I322" s="302" t="s">
        <v>287</v>
      </c>
      <c r="J322" s="303">
        <v>8</v>
      </c>
      <c r="K322" s="347">
        <v>12</v>
      </c>
      <c r="L322" s="302">
        <v>27</v>
      </c>
      <c r="M322" s="302">
        <v>4</v>
      </c>
      <c r="N322" s="302">
        <v>2.5</v>
      </c>
      <c r="O322" s="304">
        <f>2*K322*1625088/N322/(1024*1024)</f>
        <v>14.878125</v>
      </c>
      <c r="P322" s="94">
        <f t="shared" si="63"/>
        <v>0.5220155468750001</v>
      </c>
      <c r="Q322" s="94">
        <f>O322*63/3600</f>
        <v>0.26036718750000004</v>
      </c>
      <c r="R322" s="94">
        <f>O322*42.139/3600</f>
        <v>0.17415258593750002</v>
      </c>
      <c r="S322" s="306" t="s">
        <v>162</v>
      </c>
      <c r="T322" s="305" t="s">
        <v>211</v>
      </c>
      <c r="U322" s="95" t="s">
        <v>20</v>
      </c>
      <c r="V322" s="288" t="s">
        <v>107</v>
      </c>
    </row>
    <row r="323" spans="1:22" ht="12.75">
      <c r="A323" s="191" t="s">
        <v>35</v>
      </c>
      <c r="B323" s="315"/>
      <c r="C323" s="316"/>
      <c r="D323" s="317">
        <v>36618</v>
      </c>
      <c r="E323" s="350">
        <v>93</v>
      </c>
      <c r="F323" s="319">
        <v>0.3333333333333333</v>
      </c>
      <c r="G323" s="318">
        <v>0.09722222222222222</v>
      </c>
      <c r="H323" s="319">
        <f>SUM(G323+F323)</f>
        <v>0.4305555555555555</v>
      </c>
      <c r="I323" s="320"/>
      <c r="J323" s="321"/>
      <c r="K323" s="350"/>
      <c r="L323" s="320"/>
      <c r="M323" s="320"/>
      <c r="N323" s="320"/>
      <c r="O323" s="60">
        <f>O322</f>
        <v>14.878125</v>
      </c>
      <c r="P323" s="60">
        <f>P322</f>
        <v>0.5220155468750001</v>
      </c>
      <c r="Q323" s="60">
        <f>Q322</f>
        <v>0.26036718750000004</v>
      </c>
      <c r="R323" s="60">
        <f>R322</f>
        <v>0.17415258593750002</v>
      </c>
      <c r="S323" s="323"/>
      <c r="T323" s="322"/>
      <c r="U323" s="316"/>
      <c r="V323" s="316"/>
    </row>
    <row r="324" spans="1:22" ht="12.75">
      <c r="A324" s="351" t="s">
        <v>147</v>
      </c>
      <c r="B324" s="324"/>
      <c r="C324" s="325" t="s">
        <v>222</v>
      </c>
      <c r="D324" s="326">
        <v>36618</v>
      </c>
      <c r="E324" s="352">
        <v>93</v>
      </c>
      <c r="F324" s="328">
        <v>0.6354166666666666</v>
      </c>
      <c r="G324" s="327">
        <v>0.027777777777777776</v>
      </c>
      <c r="H324" s="328">
        <f t="shared" si="57"/>
        <v>0.6631944444444444</v>
      </c>
      <c r="I324" s="329"/>
      <c r="J324" s="330">
        <v>12</v>
      </c>
      <c r="K324" s="352">
        <v>32</v>
      </c>
      <c r="L324" s="329">
        <v>24</v>
      </c>
      <c r="M324" s="329" t="s">
        <v>361</v>
      </c>
      <c r="N324" s="329">
        <v>1.3</v>
      </c>
      <c r="O324" s="331">
        <f aca="true" t="shared" si="64" ref="O324:O333">K324*1625088/N324/(1024*1024)</f>
        <v>38.14903846153846</v>
      </c>
      <c r="P324" s="30">
        <f t="shared" si="63"/>
        <v>1.3385014022435897</v>
      </c>
      <c r="Q324" s="30">
        <f aca="true" t="shared" si="65" ref="Q324:Q336">O324*63/3600</f>
        <v>0.667608173076923</v>
      </c>
      <c r="R324" s="30">
        <f aca="true" t="shared" si="66" ref="R324:R333">O324*42.139/3600</f>
        <v>0.44654509214743593</v>
      </c>
      <c r="S324" s="333" t="s">
        <v>162</v>
      </c>
      <c r="T324" s="332" t="s">
        <v>211</v>
      </c>
      <c r="U324" s="31" t="s">
        <v>198</v>
      </c>
      <c r="V324" s="325" t="s">
        <v>107</v>
      </c>
    </row>
    <row r="325" spans="1:22" ht="12.75">
      <c r="A325" s="351"/>
      <c r="B325" s="324"/>
      <c r="C325" s="325"/>
      <c r="D325" s="326"/>
      <c r="E325" s="352"/>
      <c r="F325" s="328"/>
      <c r="G325" s="327"/>
      <c r="H325" s="328"/>
      <c r="I325" s="329"/>
      <c r="J325" s="330">
        <v>12</v>
      </c>
      <c r="K325" s="352">
        <v>40</v>
      </c>
      <c r="L325" s="329">
        <v>15</v>
      </c>
      <c r="M325" s="329" t="s">
        <v>362</v>
      </c>
      <c r="N325" s="329">
        <v>1.3</v>
      </c>
      <c r="O325" s="331">
        <f t="shared" si="64"/>
        <v>47.68629807692307</v>
      </c>
      <c r="P325" s="30">
        <f t="shared" si="63"/>
        <v>1.673126752804487</v>
      </c>
      <c r="Q325" s="30">
        <f t="shared" si="65"/>
        <v>0.8345102163461539</v>
      </c>
      <c r="R325" s="30">
        <f t="shared" si="66"/>
        <v>0.5581813651842948</v>
      </c>
      <c r="S325" s="333" t="s">
        <v>162</v>
      </c>
      <c r="T325" s="332" t="s">
        <v>211</v>
      </c>
      <c r="U325" s="31" t="s">
        <v>212</v>
      </c>
      <c r="V325" s="325" t="s">
        <v>107</v>
      </c>
    </row>
    <row r="326" spans="1:22" ht="12.75">
      <c r="A326" s="351" t="s">
        <v>148</v>
      </c>
      <c r="B326" s="324"/>
      <c r="C326" s="325" t="s">
        <v>222</v>
      </c>
      <c r="D326" s="326">
        <v>36618</v>
      </c>
      <c r="E326" s="352">
        <v>93</v>
      </c>
      <c r="F326" s="328">
        <v>0.6736111111111112</v>
      </c>
      <c r="G326" s="327">
        <v>0.04513888888888889</v>
      </c>
      <c r="H326" s="328">
        <f t="shared" si="57"/>
        <v>0.71875</v>
      </c>
      <c r="I326" s="329"/>
      <c r="J326" s="330">
        <v>12</v>
      </c>
      <c r="K326" s="352">
        <v>32</v>
      </c>
      <c r="L326" s="329">
        <v>24</v>
      </c>
      <c r="M326" s="329" t="s">
        <v>361</v>
      </c>
      <c r="N326" s="329">
        <v>1.3</v>
      </c>
      <c r="O326" s="331">
        <f t="shared" si="64"/>
        <v>38.14903846153846</v>
      </c>
      <c r="P326" s="30">
        <f t="shared" si="63"/>
        <v>1.3385014022435897</v>
      </c>
      <c r="Q326" s="30">
        <f t="shared" si="65"/>
        <v>0.667608173076923</v>
      </c>
      <c r="R326" s="30">
        <f t="shared" si="66"/>
        <v>0.44654509214743593</v>
      </c>
      <c r="S326" s="333" t="s">
        <v>162</v>
      </c>
      <c r="T326" s="332" t="s">
        <v>211</v>
      </c>
      <c r="U326" s="31" t="s">
        <v>198</v>
      </c>
      <c r="V326" s="325" t="s">
        <v>107</v>
      </c>
    </row>
    <row r="327" spans="1:22" ht="12.75">
      <c r="A327" s="351"/>
      <c r="B327" s="324"/>
      <c r="C327" s="325"/>
      <c r="D327" s="326"/>
      <c r="E327" s="352"/>
      <c r="F327" s="328"/>
      <c r="G327" s="327"/>
      <c r="H327" s="328"/>
      <c r="I327" s="329"/>
      <c r="J327" s="330">
        <v>12</v>
      </c>
      <c r="K327" s="352">
        <v>40</v>
      </c>
      <c r="L327" s="329">
        <v>15</v>
      </c>
      <c r="M327" s="329" t="s">
        <v>362</v>
      </c>
      <c r="N327" s="329">
        <v>1.3</v>
      </c>
      <c r="O327" s="331">
        <f t="shared" si="64"/>
        <v>47.68629807692307</v>
      </c>
      <c r="P327" s="30">
        <f t="shared" si="63"/>
        <v>1.673126752804487</v>
      </c>
      <c r="Q327" s="30">
        <f t="shared" si="65"/>
        <v>0.8345102163461539</v>
      </c>
      <c r="R327" s="30">
        <f t="shared" si="66"/>
        <v>0.5581813651842948</v>
      </c>
      <c r="S327" s="333" t="s">
        <v>162</v>
      </c>
      <c r="T327" s="332" t="s">
        <v>211</v>
      </c>
      <c r="U327" s="31" t="s">
        <v>212</v>
      </c>
      <c r="V327" s="325" t="s">
        <v>107</v>
      </c>
    </row>
    <row r="328" spans="1:22" ht="12.75">
      <c r="A328" s="351" t="s">
        <v>149</v>
      </c>
      <c r="B328" s="324"/>
      <c r="C328" s="325" t="s">
        <v>222</v>
      </c>
      <c r="D328" s="326">
        <v>36618</v>
      </c>
      <c r="E328" s="352">
        <v>93</v>
      </c>
      <c r="F328" s="328">
        <v>0.71875</v>
      </c>
      <c r="G328" s="327">
        <v>0.03819444444444444</v>
      </c>
      <c r="H328" s="328">
        <f t="shared" si="57"/>
        <v>0.7569444444444444</v>
      </c>
      <c r="I328" s="329"/>
      <c r="J328" s="330">
        <v>12</v>
      </c>
      <c r="K328" s="352">
        <v>24</v>
      </c>
      <c r="L328" s="329">
        <v>24</v>
      </c>
      <c r="M328" s="329" t="s">
        <v>361</v>
      </c>
      <c r="N328" s="329">
        <v>1.3</v>
      </c>
      <c r="O328" s="331">
        <f t="shared" si="64"/>
        <v>28.611778846153847</v>
      </c>
      <c r="P328" s="30">
        <f t="shared" si="63"/>
        <v>1.0038760516826923</v>
      </c>
      <c r="Q328" s="30">
        <f t="shared" si="65"/>
        <v>0.5007061298076924</v>
      </c>
      <c r="R328" s="30">
        <f t="shared" si="66"/>
        <v>0.33490881911057696</v>
      </c>
      <c r="S328" s="333" t="s">
        <v>162</v>
      </c>
      <c r="T328" s="332" t="s">
        <v>211</v>
      </c>
      <c r="U328" s="31" t="s">
        <v>177</v>
      </c>
      <c r="V328" s="325" t="s">
        <v>107</v>
      </c>
    </row>
    <row r="329" spans="1:22" ht="12.75">
      <c r="A329" s="351"/>
      <c r="B329" s="324"/>
      <c r="C329" s="325"/>
      <c r="D329" s="326"/>
      <c r="E329" s="352"/>
      <c r="F329" s="328"/>
      <c r="G329" s="327"/>
      <c r="H329" s="328"/>
      <c r="I329" s="329"/>
      <c r="J329" s="330">
        <v>12</v>
      </c>
      <c r="K329" s="352">
        <v>30</v>
      </c>
      <c r="L329" s="329">
        <v>15</v>
      </c>
      <c r="M329" s="329" t="s">
        <v>362</v>
      </c>
      <c r="N329" s="329">
        <v>1.3</v>
      </c>
      <c r="O329" s="331">
        <f t="shared" si="64"/>
        <v>35.76472355769231</v>
      </c>
      <c r="P329" s="30">
        <f t="shared" si="63"/>
        <v>1.2548450646033653</v>
      </c>
      <c r="Q329" s="30">
        <f t="shared" si="65"/>
        <v>0.6258826622596153</v>
      </c>
      <c r="R329" s="30">
        <f t="shared" si="66"/>
        <v>0.4186360238882212</v>
      </c>
      <c r="S329" s="333" t="s">
        <v>162</v>
      </c>
      <c r="T329" s="332" t="s">
        <v>211</v>
      </c>
      <c r="U329" s="31" t="s">
        <v>212</v>
      </c>
      <c r="V329" s="325" t="s">
        <v>107</v>
      </c>
    </row>
    <row r="330" spans="1:22" ht="12.75">
      <c r="A330" s="351" t="s">
        <v>150</v>
      </c>
      <c r="B330" s="324"/>
      <c r="C330" s="325" t="s">
        <v>222</v>
      </c>
      <c r="D330" s="326">
        <v>36618</v>
      </c>
      <c r="E330" s="352">
        <v>93</v>
      </c>
      <c r="F330" s="328">
        <v>0.7673611111111112</v>
      </c>
      <c r="G330" s="327">
        <v>0.041666666666666664</v>
      </c>
      <c r="H330" s="328">
        <f t="shared" si="57"/>
        <v>0.8090277777777778</v>
      </c>
      <c r="I330" s="329"/>
      <c r="J330" s="330">
        <v>12</v>
      </c>
      <c r="K330" s="352">
        <f>4*7</f>
        <v>28</v>
      </c>
      <c r="L330" s="329">
        <v>24</v>
      </c>
      <c r="M330" s="329" t="s">
        <v>361</v>
      </c>
      <c r="N330" s="329">
        <v>1.3</v>
      </c>
      <c r="O330" s="331">
        <f t="shared" si="64"/>
        <v>33.38040865384615</v>
      </c>
      <c r="P330" s="30">
        <f t="shared" si="63"/>
        <v>1.1711887269631411</v>
      </c>
      <c r="Q330" s="30">
        <f t="shared" si="65"/>
        <v>0.5841571514423076</v>
      </c>
      <c r="R330" s="30">
        <f t="shared" si="66"/>
        <v>0.39072695562900644</v>
      </c>
      <c r="S330" s="333" t="s">
        <v>162</v>
      </c>
      <c r="T330" s="332" t="s">
        <v>211</v>
      </c>
      <c r="U330" s="31" t="s">
        <v>386</v>
      </c>
      <c r="V330" s="325" t="s">
        <v>107</v>
      </c>
    </row>
    <row r="331" spans="1:22" ht="12.75">
      <c r="A331" s="351"/>
      <c r="B331" s="324"/>
      <c r="C331" s="325"/>
      <c r="D331" s="326"/>
      <c r="E331" s="352"/>
      <c r="F331" s="328"/>
      <c r="G331" s="327"/>
      <c r="H331" s="328"/>
      <c r="I331" s="329"/>
      <c r="J331" s="330">
        <v>12</v>
      </c>
      <c r="K331" s="352">
        <f>5*7</f>
        <v>35</v>
      </c>
      <c r="L331" s="329">
        <v>15</v>
      </c>
      <c r="M331" s="329" t="s">
        <v>362</v>
      </c>
      <c r="N331" s="329">
        <v>1.3</v>
      </c>
      <c r="O331" s="331">
        <f t="shared" si="64"/>
        <v>41.72551081730769</v>
      </c>
      <c r="P331" s="30">
        <f t="shared" si="63"/>
        <v>1.4639859087039264</v>
      </c>
      <c r="Q331" s="30">
        <f t="shared" si="65"/>
        <v>0.7301964393028847</v>
      </c>
      <c r="R331" s="30">
        <f t="shared" si="66"/>
        <v>0.488408694536258</v>
      </c>
      <c r="S331" s="333" t="s">
        <v>162</v>
      </c>
      <c r="T331" s="332" t="s">
        <v>211</v>
      </c>
      <c r="U331" s="31" t="s">
        <v>212</v>
      </c>
      <c r="V331" s="325" t="s">
        <v>107</v>
      </c>
    </row>
    <row r="332" spans="1:22" ht="25.5">
      <c r="A332" s="346" t="s">
        <v>0</v>
      </c>
      <c r="B332" s="299"/>
      <c r="C332" s="290" t="s">
        <v>282</v>
      </c>
      <c r="D332" s="300">
        <v>36618</v>
      </c>
      <c r="E332" s="347">
        <v>93</v>
      </c>
      <c r="F332" s="285">
        <v>0.8076388888888889</v>
      </c>
      <c r="G332" s="301">
        <v>0.020833333333333332</v>
      </c>
      <c r="H332" s="285">
        <f>SUM(G332+F332)</f>
        <v>0.8284722222222223</v>
      </c>
      <c r="I332" s="302"/>
      <c r="J332" s="303">
        <v>12</v>
      </c>
      <c r="K332" s="347">
        <v>4</v>
      </c>
      <c r="L332" s="302">
        <v>29</v>
      </c>
      <c r="M332" s="302">
        <v>0</v>
      </c>
      <c r="N332" s="302">
        <v>2.5</v>
      </c>
      <c r="O332" s="304">
        <f t="shared" si="64"/>
        <v>2.4796875</v>
      </c>
      <c r="P332" s="94">
        <f>O332*126.31/3600</f>
        <v>0.08700259114583332</v>
      </c>
      <c r="Q332" s="94">
        <f t="shared" si="65"/>
        <v>0.04339453124999999</v>
      </c>
      <c r="R332" s="94">
        <f t="shared" si="66"/>
        <v>0.02902543098958333</v>
      </c>
      <c r="S332" s="306" t="s">
        <v>162</v>
      </c>
      <c r="T332" s="305" t="s">
        <v>37</v>
      </c>
      <c r="U332" s="216" t="s">
        <v>305</v>
      </c>
      <c r="V332" s="288" t="s">
        <v>107</v>
      </c>
    </row>
    <row r="333" spans="1:22" ht="51">
      <c r="A333" s="348" t="s">
        <v>1</v>
      </c>
      <c r="B333" s="307"/>
      <c r="C333" s="308" t="s">
        <v>247</v>
      </c>
      <c r="D333" s="309">
        <v>36618</v>
      </c>
      <c r="E333" s="349">
        <v>93</v>
      </c>
      <c r="F333" s="311">
        <v>0.8548611111111111</v>
      </c>
      <c r="G333" s="310">
        <v>0.1875</v>
      </c>
      <c r="H333" s="311">
        <f>SUM(G333+F333)</f>
        <v>1.042361111111111</v>
      </c>
      <c r="I333" s="312"/>
      <c r="J333" s="313">
        <v>8</v>
      </c>
      <c r="K333" s="349">
        <f>95+65</f>
        <v>160</v>
      </c>
      <c r="L333" s="312">
        <v>18</v>
      </c>
      <c r="M333" s="312">
        <v>4</v>
      </c>
      <c r="N333" s="312">
        <v>2.8</v>
      </c>
      <c r="O333" s="286">
        <f t="shared" si="64"/>
        <v>88.56026785714286</v>
      </c>
      <c r="P333" s="50">
        <f>O333*126.31/3600</f>
        <v>3.1072353980654768</v>
      </c>
      <c r="Q333" s="50">
        <f t="shared" si="65"/>
        <v>1.5498046875</v>
      </c>
      <c r="R333" s="50">
        <f t="shared" si="66"/>
        <v>1.036622535342262</v>
      </c>
      <c r="S333" s="314" t="s">
        <v>162</v>
      </c>
      <c r="T333" s="287" t="s">
        <v>211</v>
      </c>
      <c r="U333" s="51" t="s">
        <v>173</v>
      </c>
      <c r="V333" s="308" t="s">
        <v>107</v>
      </c>
    </row>
    <row r="334" spans="1:22" ht="25.5">
      <c r="A334" s="355" t="s">
        <v>2</v>
      </c>
      <c r="B334" s="356"/>
      <c r="C334" s="357" t="s">
        <v>222</v>
      </c>
      <c r="D334" s="358">
        <v>36618</v>
      </c>
      <c r="E334" s="359">
        <v>93</v>
      </c>
      <c r="F334" s="360">
        <v>0.8548611111111111</v>
      </c>
      <c r="G334" s="361">
        <v>0.1875</v>
      </c>
      <c r="H334" s="360">
        <f>SUM(G334+F334)</f>
        <v>1.042361111111111</v>
      </c>
      <c r="I334" s="362"/>
      <c r="J334" s="363"/>
      <c r="K334" s="359">
        <v>2450</v>
      </c>
      <c r="L334" s="362">
        <v>8</v>
      </c>
      <c r="M334" s="362"/>
      <c r="N334" s="362"/>
      <c r="O334" s="107">
        <f>K334*2864/2.5/1000000</f>
        <v>2.80672</v>
      </c>
      <c r="P334" s="108">
        <f>O334*126.31/3600</f>
        <v>0.09847688977777777</v>
      </c>
      <c r="Q334" s="108">
        <f t="shared" si="65"/>
        <v>0.0491176</v>
      </c>
      <c r="R334" s="108">
        <f>O334*42.139/3600</f>
        <v>0.03285343724444444</v>
      </c>
      <c r="S334" s="364" t="s">
        <v>162</v>
      </c>
      <c r="T334" s="365" t="s">
        <v>211</v>
      </c>
      <c r="U334" s="106" t="s">
        <v>388</v>
      </c>
      <c r="V334" s="357" t="s">
        <v>107</v>
      </c>
    </row>
    <row r="335" spans="1:22" ht="25.5">
      <c r="A335" s="346" t="s">
        <v>161</v>
      </c>
      <c r="B335" s="299"/>
      <c r="C335" s="290" t="s">
        <v>282</v>
      </c>
      <c r="D335" s="300">
        <v>36619</v>
      </c>
      <c r="E335" s="347">
        <v>94</v>
      </c>
      <c r="F335" s="285">
        <v>0.08402777777777777</v>
      </c>
      <c r="G335" s="301">
        <v>0.020833333333333332</v>
      </c>
      <c r="H335" s="285">
        <f t="shared" si="57"/>
        <v>0.1048611111111111</v>
      </c>
      <c r="I335" s="302" t="s">
        <v>397</v>
      </c>
      <c r="J335" s="303">
        <v>8</v>
      </c>
      <c r="K335" s="347">
        <v>12</v>
      </c>
      <c r="L335" s="302">
        <v>27</v>
      </c>
      <c r="M335" s="302">
        <v>4</v>
      </c>
      <c r="N335" s="302">
        <v>2.5</v>
      </c>
      <c r="O335" s="304">
        <f>K335*1625088/N335/(1024*1024)</f>
        <v>7.4390625</v>
      </c>
      <c r="P335" s="94">
        <f t="shared" si="63"/>
        <v>0.26100777343750003</v>
      </c>
      <c r="Q335" s="94">
        <f t="shared" si="65"/>
        <v>0.13018359375000002</v>
      </c>
      <c r="R335" s="94">
        <f>O335*42.139/3600</f>
        <v>0.08707629296875001</v>
      </c>
      <c r="S335" s="306" t="s">
        <v>162</v>
      </c>
      <c r="T335" s="305" t="s">
        <v>211</v>
      </c>
      <c r="U335" s="95" t="s">
        <v>20</v>
      </c>
      <c r="V335" s="288" t="s">
        <v>107</v>
      </c>
    </row>
    <row r="336" spans="1:22" ht="25.5">
      <c r="A336" s="346" t="s">
        <v>3</v>
      </c>
      <c r="B336" s="299"/>
      <c r="C336" s="290" t="s">
        <v>282</v>
      </c>
      <c r="D336" s="300">
        <v>36619</v>
      </c>
      <c r="E336" s="347">
        <v>94</v>
      </c>
      <c r="F336" s="285">
        <v>0.5527777777777778</v>
      </c>
      <c r="G336" s="301">
        <v>0.01875</v>
      </c>
      <c r="H336" s="285">
        <f t="shared" si="57"/>
        <v>0.5715277777777779</v>
      </c>
      <c r="I336" s="302" t="s">
        <v>287</v>
      </c>
      <c r="J336" s="303">
        <v>8</v>
      </c>
      <c r="K336" s="347">
        <v>12</v>
      </c>
      <c r="L336" s="302">
        <v>27</v>
      </c>
      <c r="M336" s="302">
        <v>4</v>
      </c>
      <c r="N336" s="302">
        <v>2.5</v>
      </c>
      <c r="O336" s="304">
        <f>2*K336*1625088/N336/(1024*1024)</f>
        <v>14.878125</v>
      </c>
      <c r="P336" s="94">
        <f t="shared" si="63"/>
        <v>0.5220155468750001</v>
      </c>
      <c r="Q336" s="94">
        <f t="shared" si="65"/>
        <v>0.26036718750000004</v>
      </c>
      <c r="R336" s="94">
        <f>O336*42.139/3600</f>
        <v>0.17415258593750002</v>
      </c>
      <c r="S336" s="306" t="s">
        <v>162</v>
      </c>
      <c r="T336" s="305" t="s">
        <v>211</v>
      </c>
      <c r="U336" s="95" t="s">
        <v>20</v>
      </c>
      <c r="V336" s="288" t="s">
        <v>107</v>
      </c>
    </row>
    <row r="337" spans="1:22" ht="12.75">
      <c r="A337" s="191" t="s">
        <v>35</v>
      </c>
      <c r="B337" s="334"/>
      <c r="C337" s="335"/>
      <c r="D337" s="336">
        <v>36619</v>
      </c>
      <c r="E337" s="350">
        <v>94</v>
      </c>
      <c r="F337" s="353">
        <v>0.5708333333333333</v>
      </c>
      <c r="G337" s="337">
        <v>0.3298611111111111</v>
      </c>
      <c r="H337" s="338">
        <f t="shared" si="57"/>
        <v>0.9006944444444445</v>
      </c>
      <c r="I337" s="339"/>
      <c r="J337" s="340"/>
      <c r="K337" s="354"/>
      <c r="L337" s="339"/>
      <c r="M337" s="339"/>
      <c r="N337" s="339"/>
      <c r="O337" s="60">
        <f>SUM(O324:O336)</f>
        <v>427.3169578090659</v>
      </c>
      <c r="P337" s="60">
        <f>SUM(P324:P336)</f>
        <v>14.992890261350867</v>
      </c>
      <c r="Q337" s="60">
        <f>SUM(Q324:Q336)</f>
        <v>7.4780467616586535</v>
      </c>
      <c r="R337" s="60">
        <f>SUM(R324:R336)</f>
        <v>5.0018636903100635</v>
      </c>
      <c r="S337" s="342"/>
      <c r="T337" s="341"/>
      <c r="U337" s="343"/>
      <c r="V337" s="335"/>
    </row>
    <row r="338" spans="1:22" ht="13.5" thickBot="1">
      <c r="A338" s="236" t="s">
        <v>128</v>
      </c>
      <c r="B338" s="237"/>
      <c r="C338" s="238"/>
      <c r="D338" s="239"/>
      <c r="E338" s="240"/>
      <c r="F338" s="241"/>
      <c r="G338" s="241"/>
      <c r="H338" s="242"/>
      <c r="I338" s="243"/>
      <c r="J338" s="244"/>
      <c r="K338" s="279">
        <f>SUM(K277:K336)-K334-K314-K312-K306-K304-K298-K296-K289-K283-K281</f>
        <v>4411</v>
      </c>
      <c r="L338" s="243"/>
      <c r="M338" s="243"/>
      <c r="N338" s="243"/>
      <c r="O338" s="245"/>
      <c r="P338" s="245"/>
      <c r="Q338" s="245"/>
      <c r="R338" s="245"/>
      <c r="S338" s="240"/>
      <c r="T338" s="246"/>
      <c r="U338" s="247"/>
      <c r="V338" s="238"/>
    </row>
    <row r="339" ht="12.75"/>
    <row r="340" ht="12.75"/>
    <row r="341" spans="1:22" ht="13.5" thickBot="1">
      <c r="A341" s="236" t="s">
        <v>14</v>
      </c>
      <c r="B341" s="237"/>
      <c r="C341" s="238"/>
      <c r="D341" s="239"/>
      <c r="E341" s="240"/>
      <c r="F341" s="241"/>
      <c r="G341" s="241"/>
      <c r="H341" s="242"/>
      <c r="I341" s="243"/>
      <c r="J341" s="244"/>
      <c r="K341" s="279">
        <f>K338+K276+K232+K149+K65</f>
        <v>15568</v>
      </c>
      <c r="L341" s="243"/>
      <c r="M341" s="243"/>
      <c r="N341" s="243"/>
      <c r="O341" s="245"/>
      <c r="P341" s="245"/>
      <c r="Q341" s="245"/>
      <c r="R341" s="245"/>
      <c r="S341" s="240"/>
      <c r="T341" s="246"/>
      <c r="U341" s="247"/>
      <c r="V341" s="238"/>
    </row>
    <row r="342" ht="12.75"/>
    <row r="343" ht="12.75"/>
    <row r="344" spans="1:22" ht="13.5" thickBot="1">
      <c r="A344" s="236" t="s">
        <v>13</v>
      </c>
      <c r="B344" s="237"/>
      <c r="C344" s="238"/>
      <c r="D344" s="239"/>
      <c r="E344" s="240"/>
      <c r="F344" s="241"/>
      <c r="G344" s="241"/>
      <c r="H344" s="242"/>
      <c r="I344" s="243"/>
      <c r="J344" s="244"/>
      <c r="K344" s="279">
        <f>K334+K314+K312+K306+K304+K298+K296+K289+K283+K281+K274+K270+K236+K210+K193+K171+K166+K159+K156+K152+K151+K105+K98+K62+K50+K34+K3</f>
        <v>35452</v>
      </c>
      <c r="L344" s="243"/>
      <c r="M344" s="243"/>
      <c r="N344" s="243"/>
      <c r="O344" s="245"/>
      <c r="P344" s="245"/>
      <c r="Q344" s="245"/>
      <c r="R344" s="245"/>
      <c r="S344" s="240"/>
      <c r="T344" s="246"/>
      <c r="U344" s="247"/>
      <c r="V344" s="238"/>
    </row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</sheetData>
  <printOptions gridLines="1"/>
  <pageMargins left="0.43" right="0.46" top="1" bottom="0.79" header="0.5" footer="0.5"/>
  <pageSetup fitToHeight="7" horizontalDpi="300" verticalDpi="300" orientation="landscape" scale="70" r:id="rId1"/>
  <headerFooter alignWithMargins="0">
    <oddHeader>&amp;LA. Harch&amp;C&amp;"Arial,Bold"&amp;12MSI/NIS Timeline
200 x 200 orbit&amp;R&amp;D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workbookViewId="0" topLeftCell="A1">
      <selection activeCell="A2" sqref="A2:H114"/>
    </sheetView>
  </sheetViews>
  <sheetFormatPr defaultColWidth="9.140625" defaultRowHeight="12.75"/>
  <cols>
    <col min="1" max="1" width="19.7109375" style="0" customWidth="1"/>
    <col min="2" max="2" width="4.28125" style="0" customWidth="1"/>
    <col min="3" max="3" width="6.28125" style="0" customWidth="1"/>
    <col min="4" max="4" width="7.00390625" style="0" customWidth="1"/>
    <col min="5" max="5" width="9.8515625" style="0" customWidth="1"/>
    <col min="6" max="8" width="11.421875" style="0" customWidth="1"/>
    <col min="9" max="9" width="8.7109375" style="0" customWidth="1"/>
    <col min="10" max="16384" width="11.421875" style="0" customWidth="1"/>
  </cols>
  <sheetData>
    <row r="1" spans="1:9" ht="25.5">
      <c r="A1" s="196" t="s">
        <v>217</v>
      </c>
      <c r="B1" s="197" t="s">
        <v>216</v>
      </c>
      <c r="C1" s="196" t="s">
        <v>267</v>
      </c>
      <c r="D1" s="198" t="s">
        <v>268</v>
      </c>
      <c r="E1" s="199" t="s">
        <v>269</v>
      </c>
      <c r="F1" s="198" t="s">
        <v>218</v>
      </c>
      <c r="G1" s="198" t="s">
        <v>271</v>
      </c>
      <c r="H1" s="200" t="s">
        <v>219</v>
      </c>
      <c r="I1" s="198" t="s">
        <v>220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Gierasch</dc:creator>
  <cp:keywords/>
  <dc:description/>
  <cp:lastModifiedBy>Cheryl Musselman</cp:lastModifiedBy>
  <cp:lastPrinted>2000-06-26T15:02:07Z</cp:lastPrinted>
  <dcterms:created xsi:type="dcterms:W3CDTF">1998-11-11T12:37:38Z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